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jonas.linke/Downloads/"/>
    </mc:Choice>
  </mc:AlternateContent>
  <xr:revisionPtr revIDLastSave="0" documentId="8_{642259CA-F304-FF48-A833-A8F99576B185}" xr6:coauthVersionLast="47" xr6:coauthVersionMax="47" xr10:uidLastSave="{00000000-0000-0000-0000-000000000000}"/>
  <bookViews>
    <workbookView xWindow="0" yWindow="660" windowWidth="34560" windowHeight="21680" tabRatio="500" xr2:uid="{00000000-000D-0000-FFFF-FFFF00000000}"/>
  </bookViews>
  <sheets>
    <sheet name="Anforderungen &amp; Fit-Gap" sheetId="1" r:id="rId1"/>
    <sheet name="Auswertung" sheetId="2" r:id="rId2"/>
  </sheets>
  <definedNames>
    <definedName name="_xlnm._FilterDatabase" localSheetId="0" hidden="1">'Anforderungen &amp; Fit-Gap'!$A$4:$G$84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2" l="1"/>
  <c r="D23" i="2"/>
  <c r="C23" i="2"/>
  <c r="E22" i="2"/>
  <c r="D22" i="2"/>
  <c r="C22" i="2"/>
  <c r="E21" i="2"/>
  <c r="D21" i="2"/>
  <c r="C21" i="2"/>
  <c r="E20" i="2"/>
  <c r="D20" i="2"/>
  <c r="C20" i="2"/>
  <c r="E19" i="2"/>
  <c r="D19" i="2"/>
  <c r="C19" i="2"/>
  <c r="E18" i="2"/>
  <c r="D18" i="2"/>
  <c r="C18" i="2"/>
  <c r="E17" i="2"/>
  <c r="D17" i="2"/>
  <c r="C17" i="2"/>
  <c r="C12" i="2"/>
  <c r="C11" i="2"/>
  <c r="C10" i="2"/>
  <c r="C9" i="2"/>
  <c r="C8" i="2"/>
  <c r="C6" i="2"/>
  <c r="K84" i="1"/>
  <c r="J84" i="1"/>
  <c r="I84" i="1"/>
  <c r="K83" i="1"/>
  <c r="J83" i="1"/>
  <c r="I83" i="1"/>
  <c r="K82" i="1"/>
  <c r="J82" i="1"/>
  <c r="I82" i="1"/>
  <c r="K81" i="1"/>
  <c r="J81" i="1"/>
  <c r="I81" i="1"/>
  <c r="K80" i="1"/>
  <c r="J80" i="1"/>
  <c r="I80" i="1"/>
  <c r="K79" i="1"/>
  <c r="J79" i="1"/>
  <c r="I79" i="1"/>
  <c r="K78" i="1"/>
  <c r="J78" i="1"/>
  <c r="I78" i="1"/>
  <c r="K77" i="1"/>
  <c r="J77" i="1"/>
  <c r="I77" i="1"/>
  <c r="K76" i="1"/>
  <c r="J76" i="1"/>
  <c r="I76" i="1"/>
  <c r="K75" i="1"/>
  <c r="J75" i="1"/>
  <c r="I75" i="1"/>
  <c r="K74" i="1"/>
  <c r="J74" i="1"/>
  <c r="I74" i="1"/>
  <c r="M74" i="1" s="1"/>
  <c r="K73" i="1"/>
  <c r="J73" i="1"/>
  <c r="I73" i="1"/>
  <c r="M73" i="1" s="1"/>
  <c r="K72" i="1"/>
  <c r="J72" i="1"/>
  <c r="I72" i="1"/>
  <c r="K71" i="1"/>
  <c r="J71" i="1"/>
  <c r="I71" i="1"/>
  <c r="K70" i="1"/>
  <c r="J70" i="1"/>
  <c r="I70" i="1"/>
  <c r="K69" i="1"/>
  <c r="J69" i="1"/>
  <c r="I69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M63" i="1" s="1"/>
  <c r="K62" i="1"/>
  <c r="J62" i="1"/>
  <c r="I62" i="1"/>
  <c r="K61" i="1"/>
  <c r="J61" i="1"/>
  <c r="I61" i="1"/>
  <c r="M61" i="1" s="1"/>
  <c r="K60" i="1"/>
  <c r="J60" i="1"/>
  <c r="I60" i="1"/>
  <c r="M60" i="1" s="1"/>
  <c r="K59" i="1"/>
  <c r="J59" i="1"/>
  <c r="I59" i="1"/>
  <c r="M59" i="1" s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M54" i="1" s="1"/>
  <c r="K53" i="1"/>
  <c r="J53" i="1"/>
  <c r="I53" i="1"/>
  <c r="K52" i="1"/>
  <c r="J52" i="1"/>
  <c r="I52" i="1"/>
  <c r="K51" i="1"/>
  <c r="J51" i="1"/>
  <c r="I51" i="1"/>
  <c r="M51" i="1" s="1"/>
  <c r="K50" i="1"/>
  <c r="J50" i="1"/>
  <c r="I50" i="1"/>
  <c r="M50" i="1" s="1"/>
  <c r="K49" i="1"/>
  <c r="J49" i="1"/>
  <c r="I49" i="1"/>
  <c r="K48" i="1"/>
  <c r="J48" i="1"/>
  <c r="I48" i="1"/>
  <c r="M48" i="1" s="1"/>
  <c r="K47" i="1"/>
  <c r="J47" i="1"/>
  <c r="I47" i="1"/>
  <c r="M47" i="1" s="1"/>
  <c r="K46" i="1"/>
  <c r="J46" i="1"/>
  <c r="I46" i="1"/>
  <c r="M46" i="1" s="1"/>
  <c r="K45" i="1"/>
  <c r="J45" i="1"/>
  <c r="I45" i="1"/>
  <c r="M45" i="1" s="1"/>
  <c r="K44" i="1"/>
  <c r="J44" i="1"/>
  <c r="I44" i="1"/>
  <c r="K43" i="1"/>
  <c r="J43" i="1"/>
  <c r="I43" i="1"/>
  <c r="K42" i="1"/>
  <c r="J42" i="1"/>
  <c r="I42" i="1"/>
  <c r="M42" i="1" s="1"/>
  <c r="K41" i="1"/>
  <c r="J41" i="1"/>
  <c r="I41" i="1"/>
  <c r="K40" i="1"/>
  <c r="J40" i="1"/>
  <c r="I40" i="1"/>
  <c r="M40" i="1" s="1"/>
  <c r="K39" i="1"/>
  <c r="J39" i="1"/>
  <c r="I39" i="1"/>
  <c r="K38" i="1"/>
  <c r="J38" i="1"/>
  <c r="I38" i="1"/>
  <c r="K37" i="1"/>
  <c r="J37" i="1"/>
  <c r="I37" i="1"/>
  <c r="M37" i="1" s="1"/>
  <c r="K36" i="1"/>
  <c r="J36" i="1"/>
  <c r="I36" i="1"/>
  <c r="M36" i="1" s="1"/>
  <c r="K35" i="1"/>
  <c r="J35" i="1"/>
  <c r="I35" i="1"/>
  <c r="M35" i="1" s="1"/>
  <c r="K34" i="1"/>
  <c r="J34" i="1"/>
  <c r="I34" i="1"/>
  <c r="K33" i="1"/>
  <c r="J33" i="1"/>
  <c r="I33" i="1"/>
  <c r="K32" i="1"/>
  <c r="J32" i="1"/>
  <c r="I32" i="1"/>
  <c r="L32" i="1" s="1"/>
  <c r="K31" i="1"/>
  <c r="J31" i="1"/>
  <c r="I31" i="1"/>
  <c r="M31" i="1" s="1"/>
  <c r="K30" i="1"/>
  <c r="J30" i="1"/>
  <c r="I30" i="1"/>
  <c r="K29" i="1"/>
  <c r="J29" i="1"/>
  <c r="I29" i="1"/>
  <c r="K28" i="1"/>
  <c r="J28" i="1"/>
  <c r="I28" i="1"/>
  <c r="M28" i="1" s="1"/>
  <c r="K27" i="1"/>
  <c r="J27" i="1"/>
  <c r="I27" i="1"/>
  <c r="M27" i="1" s="1"/>
  <c r="K26" i="1"/>
  <c r="J26" i="1"/>
  <c r="I26" i="1"/>
  <c r="M26" i="1" s="1"/>
  <c r="K25" i="1"/>
  <c r="J25" i="1"/>
  <c r="I25" i="1"/>
  <c r="K24" i="1"/>
  <c r="J24" i="1"/>
  <c r="I24" i="1"/>
  <c r="K23" i="1"/>
  <c r="J23" i="1"/>
  <c r="I23" i="1"/>
  <c r="M23" i="1" s="1"/>
  <c r="K22" i="1"/>
  <c r="J22" i="1"/>
  <c r="I22" i="1"/>
  <c r="K21" i="1"/>
  <c r="J21" i="1"/>
  <c r="I21" i="1"/>
  <c r="L21" i="1" s="1"/>
  <c r="K20" i="1"/>
  <c r="J20" i="1"/>
  <c r="I20" i="1"/>
  <c r="K19" i="1"/>
  <c r="J19" i="1"/>
  <c r="I19" i="1"/>
  <c r="K18" i="1"/>
  <c r="J18" i="1"/>
  <c r="I18" i="1"/>
  <c r="M18" i="1" s="1"/>
  <c r="K17" i="1"/>
  <c r="J17" i="1"/>
  <c r="I17" i="1"/>
  <c r="M17" i="1" s="1"/>
  <c r="K16" i="1"/>
  <c r="J16" i="1"/>
  <c r="I16" i="1"/>
  <c r="K15" i="1"/>
  <c r="J15" i="1"/>
  <c r="I15" i="1"/>
  <c r="K14" i="1"/>
  <c r="J14" i="1"/>
  <c r="I14" i="1"/>
  <c r="K13" i="1"/>
  <c r="J13" i="1"/>
  <c r="I13" i="1"/>
  <c r="M13" i="1" s="1"/>
  <c r="K12" i="1"/>
  <c r="J12" i="1"/>
  <c r="I12" i="1"/>
  <c r="K10" i="1"/>
  <c r="J10" i="1"/>
  <c r="I10" i="1"/>
  <c r="K9" i="1"/>
  <c r="J9" i="1"/>
  <c r="I9" i="1"/>
  <c r="K8" i="1"/>
  <c r="J8" i="1"/>
  <c r="I8" i="1"/>
  <c r="M8" i="1" s="1"/>
  <c r="K7" i="1"/>
  <c r="J7" i="1"/>
  <c r="I7" i="1"/>
  <c r="K6" i="1"/>
  <c r="J6" i="1"/>
  <c r="I6" i="1"/>
  <c r="M6" i="1" s="1"/>
  <c r="K5" i="1"/>
  <c r="J5" i="1"/>
  <c r="I5" i="1"/>
  <c r="L19" i="1" l="1"/>
  <c r="M38" i="1"/>
  <c r="M66" i="1"/>
  <c r="M80" i="1"/>
  <c r="M57" i="1"/>
  <c r="M71" i="1"/>
  <c r="M20" i="1"/>
  <c r="M76" i="1"/>
  <c r="M39" i="1"/>
  <c r="M53" i="1"/>
  <c r="M81" i="1"/>
  <c r="L25" i="1"/>
  <c r="M30" i="1"/>
  <c r="M44" i="1"/>
  <c r="M58" i="1"/>
  <c r="M77" i="1"/>
  <c r="M12" i="1"/>
  <c r="M7" i="1"/>
  <c r="M22" i="1"/>
  <c r="M78" i="1"/>
  <c r="M41" i="1"/>
  <c r="M55" i="1"/>
  <c r="M25" i="1"/>
  <c r="M49" i="1"/>
  <c r="M67" i="1"/>
  <c r="M21" i="1"/>
  <c r="L66" i="1"/>
  <c r="M9" i="1"/>
  <c r="M15" i="1"/>
  <c r="M24" i="1"/>
  <c r="M33" i="1"/>
  <c r="L56" i="1"/>
  <c r="M69" i="1"/>
  <c r="L83" i="1"/>
  <c r="L45" i="1"/>
  <c r="L5" i="1"/>
  <c r="M10" i="1"/>
  <c r="M29" i="1"/>
  <c r="M52" i="1"/>
  <c r="L60" i="1"/>
  <c r="M65" i="1"/>
  <c r="L39" i="1"/>
  <c r="L14" i="1"/>
  <c r="M16" i="1"/>
  <c r="M34" i="1"/>
  <c r="M56" i="1"/>
  <c r="L70" i="1"/>
  <c r="B20" i="2"/>
  <c r="L42" i="1"/>
  <c r="L27" i="1"/>
  <c r="L46" i="1"/>
  <c r="M62" i="1"/>
  <c r="L18" i="1"/>
  <c r="L34" i="1"/>
  <c r="L80" i="1"/>
  <c r="M14" i="1"/>
  <c r="L73" i="1"/>
  <c r="L31" i="1"/>
  <c r="M43" i="1"/>
  <c r="L62" i="1"/>
  <c r="L77" i="1"/>
  <c r="M82" i="1"/>
  <c r="L9" i="1"/>
  <c r="L53" i="1"/>
  <c r="L76" i="1"/>
  <c r="L38" i="1"/>
  <c r="L10" i="1"/>
  <c r="L81" i="1"/>
  <c r="L6" i="1"/>
  <c r="B21" i="2"/>
  <c r="L24" i="1"/>
  <c r="L28" i="1"/>
  <c r="L13" i="1"/>
  <c r="M32" i="1"/>
  <c r="L48" i="1"/>
  <c r="L63" i="1"/>
  <c r="M75" i="1"/>
  <c r="M79" i="1"/>
  <c r="L49" i="1"/>
  <c r="L69" i="1"/>
  <c r="L20" i="1"/>
  <c r="M70" i="1"/>
  <c r="L74" i="1"/>
  <c r="L52" i="1"/>
  <c r="M84" i="1"/>
  <c r="L35" i="1"/>
  <c r="L55" i="1"/>
  <c r="L59" i="1"/>
  <c r="L67" i="1"/>
  <c r="L17" i="1"/>
  <c r="M5" i="1"/>
  <c r="L41" i="1"/>
  <c r="M64" i="1"/>
  <c r="M68" i="1"/>
  <c r="M72" i="1"/>
  <c r="L16" i="1"/>
  <c r="L30" i="1"/>
  <c r="L44" i="1"/>
  <c r="L58" i="1"/>
  <c r="L72" i="1"/>
  <c r="M83" i="1"/>
  <c r="B22" i="2" s="1"/>
  <c r="L33" i="1"/>
  <c r="L47" i="1"/>
  <c r="L61" i="1"/>
  <c r="L75" i="1"/>
  <c r="L7" i="1"/>
  <c r="M19" i="1"/>
  <c r="L22" i="1"/>
  <c r="L36" i="1"/>
  <c r="L50" i="1"/>
  <c r="L64" i="1"/>
  <c r="L78" i="1"/>
  <c r="L84" i="1"/>
  <c r="L8" i="1"/>
  <c r="L23" i="1"/>
  <c r="L37" i="1"/>
  <c r="L51" i="1"/>
  <c r="L65" i="1"/>
  <c r="L79" i="1"/>
  <c r="L12" i="1"/>
  <c r="L26" i="1"/>
  <c r="L40" i="1"/>
  <c r="L54" i="1"/>
  <c r="L68" i="1"/>
  <c r="L82" i="1"/>
  <c r="C7" i="2"/>
  <c r="L15" i="1"/>
  <c r="L29" i="1"/>
  <c r="L43" i="1"/>
  <c r="L57" i="1"/>
  <c r="L71" i="1"/>
  <c r="B17" i="2" l="1"/>
  <c r="B19" i="2"/>
  <c r="B18" i="2"/>
  <c r="C5" i="2"/>
  <c r="B23" i="2"/>
</calcChain>
</file>

<file path=xl/sharedStrings.xml><?xml version="1.0" encoding="utf-8"?>
<sst xmlns="http://schemas.openxmlformats.org/spreadsheetml/2006/main" count="600" uniqueCount="314">
  <si>
    <t>adesso  |  Anforderungskatalog &amp; Fit-Gap-Analyse – Laborinformationssystem (LIS)</t>
  </si>
  <si>
    <t>Bewertete Lösung / Anbieter:</t>
  </si>
  <si>
    <t>Kategorie</t>
  </si>
  <si>
    <t>ID</t>
  </si>
  <si>
    <t>Anforderung</t>
  </si>
  <si>
    <t>Beschreibung</t>
  </si>
  <si>
    <t>Priorität</t>
  </si>
  <si>
    <t>Bewertung</t>
  </si>
  <si>
    <t>_Gewicht</t>
  </si>
  <si>
    <t>_Bewertet</t>
  </si>
  <si>
    <t>_Faktor</t>
  </si>
  <si>
    <t>_Punkte</t>
  </si>
  <si>
    <t>_MaxPunkte</t>
  </si>
  <si>
    <t>OE</t>
  </si>
  <si>
    <t>OE-01</t>
  </si>
  <si>
    <t>Elektronische Auftragserfassung</t>
  </si>
  <si>
    <t>Erfassung von Laboraufträgen über ein webbasiertes Order-Entry-Portal für externe Einsender (Praxen, Kliniken) und interne Stationen.</t>
  </si>
  <si>
    <t>MUSS</t>
  </si>
  <si>
    <t>Nicht bewertet</t>
  </si>
  <si>
    <t>OE-02</t>
  </si>
  <si>
    <t>Patienten- &amp; Falldaten</t>
  </si>
  <si>
    <t>Eindeutige Identifikation von Patient und Fall inkl. Dublettenprüfung und Stammdatenabgleich.</t>
  </si>
  <si>
    <t>OE-03</t>
  </si>
  <si>
    <t>Anforderungsprofile</t>
  </si>
  <si>
    <t>Hinterlegung individueller und einsenderspezifischer Untersuchungsprofile / Anforderungssets.</t>
  </si>
  <si>
    <t>OE-04</t>
  </si>
  <si>
    <t>Material- &amp; Röhrchenlogik</t>
  </si>
  <si>
    <t>Automatische Ermittlung benötigter Probenmaterialien, Röhrchentypen und Mindestmengen je Analyt-Kombination.</t>
  </si>
  <si>
    <t>OE-05</t>
  </si>
  <si>
    <t>Dringlichkeitssteuerung</t>
  </si>
  <si>
    <t>Kennzeichnung als Notfall/Cito mit priorisierter Weiterverarbeitung und visueller Hervorhebung.</t>
  </si>
  <si>
    <t>OE-06</t>
  </si>
  <si>
    <t>Plausibilitäts- &amp; Pflichtfeldprüfung</t>
  </si>
  <si>
    <t>Validierung der Eingaben (Pflichtfelder, Wertebereiche, klinische Angaben) bei der Auftragserfassung.</t>
  </si>
  <si>
    <t>OE-07</t>
  </si>
  <si>
    <t>Diagnose- &amp; Indikationsangaben</t>
  </si>
  <si>
    <t>Erfassung von Diagnosen (ICD-10), Verdachtsdiagnosen und abrechnungsrelevanten Begründungen.</t>
  </si>
  <si>
    <t>SOLL</t>
  </si>
  <si>
    <t>OE-08</t>
  </si>
  <si>
    <t>Etiketten- &amp; Barcodedruck</t>
  </si>
  <si>
    <t>Generierung und Druck von Proben-Etiketten mit eindeutigem Barcode/QR aus dem Auftrag.</t>
  </si>
  <si>
    <t>OE-09</t>
  </si>
  <si>
    <t>Abrechnungspfad bei Anforderung</t>
  </si>
  <si>
    <t>Auswahl des Abrechnungswegs (GKV, privat/IGeL, Selbstzahler) inkl. Einwilligungs-/Kostenhinweisen.</t>
  </si>
  <si>
    <t>OE-10</t>
  </si>
  <si>
    <t>Nachforderung</t>
  </si>
  <si>
    <t>Nachträgliches Hinzufügen von Analyten unter Berücksichtigung von Probenstabilität und Restmenge.</t>
  </si>
  <si>
    <t>OE-11</t>
  </si>
  <si>
    <t>Auftragsstatus-Tracking</t>
  </si>
  <si>
    <t>Verfolgung des Auftrags-/Probenstatus in Echtzeit für Einsender.</t>
  </si>
  <si>
    <t>OE-12</t>
  </si>
  <si>
    <t>Mobile Auftragserfassung</t>
  </si>
  <si>
    <t>Auftragserfassung über mobile Endgeräte / responsives Portal.</t>
  </si>
  <si>
    <t>KANN</t>
  </si>
  <si>
    <t>OE-13</t>
  </si>
  <si>
    <t>Entscheidungsunterstützung</t>
  </si>
  <si>
    <t>Hinweise auf sinnvolle Zusatzuntersuchungen sowie Doppelanforderungs-Warnungen.</t>
  </si>
  <si>
    <t>LIS</t>
  </si>
  <si>
    <t>LIS-01</t>
  </si>
  <si>
    <t>Probeneingang &amp; Identifikation</t>
  </si>
  <si>
    <t>Erfassung des Probeneingangs per Barcode-Scan mit Zeitstempel und Auftragszuordnung.</t>
  </si>
  <si>
    <t>LIS-02</t>
  </si>
  <si>
    <t>Präanalytische Prüfung</t>
  </si>
  <si>
    <t>Dokumentation präanalytischer Kriterien (Hämolyse, Lipämie, Ikterus, Gerinnsel, Füllmenge, Transportzeit).</t>
  </si>
  <si>
    <t>LIS-03</t>
  </si>
  <si>
    <t>Arbeitslisten &amp; Workplaces</t>
  </si>
  <si>
    <t>Arbeitslisten je Arbeitsplatz/Gerät, dynamisch filter- und sortierbar.</t>
  </si>
  <si>
    <t>LIS-04</t>
  </si>
  <si>
    <t>Aliquotierung &amp; Probenteilung</t>
  </si>
  <si>
    <t>Verwaltung von Aliquots und Folgeproben mit Rückverfolgbarkeit zur Primärprobe.</t>
  </si>
  <si>
    <t>LIS-05</t>
  </si>
  <si>
    <t>Ergebniserfassung</t>
  </si>
  <si>
    <t>Automatische Übernahme von Messergebnissen sowie manuelle Erfassung mit Pflichtkommentaren.</t>
  </si>
  <si>
    <t>LIS-06</t>
  </si>
  <si>
    <t>Referenzbereiche</t>
  </si>
  <si>
    <t>Alters-, geschlechts- und materialabhängige Referenz-/Normbereiche inkl. Sondergruppen.</t>
  </si>
  <si>
    <t>LIS-07</t>
  </si>
  <si>
    <t>Technische Validierung</t>
  </si>
  <si>
    <t>Regelbasierte Plausibilisierung (Delta-Check, Limit-Check) mit Autofreigabe unauffälliger Werte.</t>
  </si>
  <si>
    <t>LIS-08</t>
  </si>
  <si>
    <t>Ärztliche/medizinische Validierung</t>
  </si>
  <si>
    <t>Strukturierte fachärztliche Freigabe mit Vier-Augen-Option und Protokollierung.</t>
  </si>
  <si>
    <t>LIS-09</t>
  </si>
  <si>
    <t>Pathologische Wertkennzeichnung</t>
  </si>
  <si>
    <t>Automatische Markierung pathologischer/kritischer Werte inkl. Eskalation für lebensbedrohliche Befunde.</t>
  </si>
  <si>
    <t>LIS-10</t>
  </si>
  <si>
    <t>Kumulativbefund</t>
  </si>
  <si>
    <t>Darstellung von Verlaufs-/Kumulativbefunden über mehrere Zeitpunkte je Patient.</t>
  </si>
  <si>
    <t>LIS-11</t>
  </si>
  <si>
    <t>Befundausgabe Multikanal</t>
  </si>
  <si>
    <t>Befunde als PDF, Druck, Fax, verschlüsselte E-Mail und elektronische Schnittstellen.</t>
  </si>
  <si>
    <t>LIS-12</t>
  </si>
  <si>
    <t>Nachbefundung &amp; Korrektur</t>
  </si>
  <si>
    <t>Korrektur freigegebener Befunde mit Versionierung, Begründung und Nachrichtigung des Einsenders.</t>
  </si>
  <si>
    <t>LIS-13</t>
  </si>
  <si>
    <t>Befundkommentare &amp; Textbausteine</t>
  </si>
  <si>
    <t>Verwaltung freier und standardisierter Kommentartexte, analyt-/befundabhängig.</t>
  </si>
  <si>
    <t>LIS-14</t>
  </si>
  <si>
    <t>Probenarchivierung</t>
  </si>
  <si>
    <t>Verwaltung von Probenlagerung (Lagerort, Position, Aufbewahrungsfrist) inkl. Wiederauffindung.</t>
  </si>
  <si>
    <t>LIS-15</t>
  </si>
  <si>
    <t>Autovalidierungsregeln konfigurierbar</t>
  </si>
  <si>
    <t>Fachlich konfigurierbares Regelwerk für die Autovalidierung ohne Programmieraufwand.</t>
  </si>
  <si>
    <t>LIS-16</t>
  </si>
  <si>
    <t>Reflex- &amp; Folgetests</t>
  </si>
  <si>
    <t>Automatisches Auslösen von Reflex-/Stufentests anhand definierter Regellogik.</t>
  </si>
  <si>
    <t>MB</t>
  </si>
  <si>
    <t>MB-01</t>
  </si>
  <si>
    <t>Kultur- &amp; Bebrütungsmanagement</t>
  </si>
  <si>
    <t>Verwaltung von Nährmedien, Beimpfung und Bebrütung mit arbeitsplatzbezogenen Wiedervorlagen.</t>
  </si>
  <si>
    <t>MB-02</t>
  </si>
  <si>
    <t>Erreger- &amp; Keimkatalog</t>
  </si>
  <si>
    <t>Strukturierte Erfassung von Erregern/Isolaten auf Basis eines pflegbaren Keimkatalogs.</t>
  </si>
  <si>
    <t>MB-03</t>
  </si>
  <si>
    <t>Antibiogramm / Resistenztestung</t>
  </si>
  <si>
    <t>Erfassung/Bewertung von Empfindlichkeitsprüfungen (MHK, Hemmhof) mit EUCAST-Interpretation (S/I/R).</t>
  </si>
  <si>
    <t>MB-04</t>
  </si>
  <si>
    <t>EUCAST-Regelwerk &amp; Updates</t>
  </si>
  <si>
    <t>Hinterlegung und revisionssichere Aktualisierung der EUCAST-Grenzwerte und Expertenregeln.</t>
  </si>
  <si>
    <t>MB-05</t>
  </si>
  <si>
    <t>Multiresistenz-Erkennung</t>
  </si>
  <si>
    <t>Automatische Erkennung/Kennzeichnung von MRE (MRSA, VRE, 3MRGN/4MRGN, ESBL) mit Folgeaktionen.</t>
  </si>
  <si>
    <t>MB-06</t>
  </si>
  <si>
    <t>Stufenbefundung</t>
  </si>
  <si>
    <t>Mehrstufige Vor-/Teil- und Endbefundung über den Kulturverlauf.</t>
  </si>
  <si>
    <t>MB-07</t>
  </si>
  <si>
    <t>Meldewesen IfSG</t>
  </si>
  <si>
    <t>Unterstützung der Meldepflichten nach IfSG inkl. elektronischer Übermittlung (DEMIS).</t>
  </si>
  <si>
    <t>MB-08</t>
  </si>
  <si>
    <t>Hygiene- &amp; Ausbruchsanalyse</t>
  </si>
  <si>
    <t>Auswertungen zu Keimstatistik, Stationsbezug und Häufungen für das Hygiene-/Ausbruchsmanagement.</t>
  </si>
  <si>
    <t>MB-09</t>
  </si>
  <si>
    <t>Resistenz-/Verbrauchsstatistik</t>
  </si>
  <si>
    <t>Erstellung von Resistenz- und Verbrauchsstatistiken (ARS-/AMR-Reporting).</t>
  </si>
  <si>
    <t>MB-10</t>
  </si>
  <si>
    <t>MALDI-TOF- &amp; PCR-Integration</t>
  </si>
  <si>
    <t>Anbindung von Identifikationsverfahren (MALDI-TOF) und molekularer Erregerdiagnostik.</t>
  </si>
  <si>
    <t>MB-11</t>
  </si>
  <si>
    <t>Material-/Lokalisationsbezug</t>
  </si>
  <si>
    <t>Erfassung von Materialart und Entnahmelokalisation als Bewertungsgrundlage.</t>
  </si>
  <si>
    <t>IF</t>
  </si>
  <si>
    <t>IF-01</t>
  </si>
  <si>
    <t>Bidirektionale Geräteanbindung</t>
  </si>
  <si>
    <t>Order-Download und Ergebnis-Upload von Analysegeräten über Treiber/Middleware.</t>
  </si>
  <si>
    <t>IF-02</t>
  </si>
  <si>
    <t>HL7-Kommunikation</t>
  </si>
  <si>
    <t>Unterstützung von HL7 v2.x (ORM, ORU, ADT) für KIS, Einsender und Subsysteme.</t>
  </si>
  <si>
    <t>IF-03</t>
  </si>
  <si>
    <t>LDT-Schnittstelle</t>
  </si>
  <si>
    <t>Import/Export nach LDT für niedergelassene Einsender und Praxisverwaltungssysteme.</t>
  </si>
  <si>
    <t>IF-04</t>
  </si>
  <si>
    <t>ASTM/POCT</t>
  </si>
  <si>
    <t>Anbindung von Geräten und Point-of-Care-Systemen über ASTM bzw. POCT1-A.</t>
  </si>
  <si>
    <t>IF-05</t>
  </si>
  <si>
    <t>FHIR-Unterstützung</t>
  </si>
  <si>
    <t>Bereitstellung von HL7 FHIR-Ressourcen (DiagnosticReport, Observation, ServiceRequest).</t>
  </si>
  <si>
    <t>IF-06</t>
  </si>
  <si>
    <t>Order-/Result-Mapping</t>
  </si>
  <si>
    <t>Zentrale, pflegbare Zuordnung von Analyt-/Gerätecodes auf den hauseigenen Leistungskatalog.</t>
  </si>
  <si>
    <t>IF-07</t>
  </si>
  <si>
    <t>Stabile Integration in KIS/PVS inkl. Patienten- und Auftragsdatensynchronisation.</t>
  </si>
  <si>
    <t>IF-08</t>
  </si>
  <si>
    <t>TI-/eHealth-Anbindung</t>
  </si>
  <si>
    <t>Anbindung an die Telematikinfrastruktur (TI) und ePA im erforderlichen Umfang.</t>
  </si>
  <si>
    <t>IF-09</t>
  </si>
  <si>
    <t>LOINC-Codierung</t>
  </si>
  <si>
    <t>Unterstützung der LOINC-Codierung für semantische Interoperabilität.</t>
  </si>
  <si>
    <t>IF-10</t>
  </si>
  <si>
    <t>Schnittstellen-Monitoring</t>
  </si>
  <si>
    <t>Überwachung aller Schnittstellen mit Statusanzeige, Fehler-Queues und Alarmierung.</t>
  </si>
  <si>
    <t>IF-11</t>
  </si>
  <si>
    <t>Elektronische Rückübermittlung an Einsendersysteme (LDT/HL7) inkl. Quittierung.</t>
  </si>
  <si>
    <t>IF-12</t>
  </si>
  <si>
    <t>API für Drittsysteme</t>
  </si>
  <si>
    <t>AB</t>
  </si>
  <si>
    <t>AB-01</t>
  </si>
  <si>
    <t>Mehrwege-Abrechnung</t>
  </si>
  <si>
    <t>Abrechnung über GKV/EBM, privatärztlich (GOÄ), DKG-NT/Krankenhaus, IGeL und Selbstzahler.</t>
  </si>
  <si>
    <t>AB-02</t>
  </si>
  <si>
    <t>Gebührenordnungen &amp; Updates</t>
  </si>
  <si>
    <t>Hinterlegung von EBM, GOÄ, DKG-NT mit revisionssicherer Aktualisierung.</t>
  </si>
  <si>
    <t>AB-03</t>
  </si>
  <si>
    <t>Automatische Leistungsableitung</t>
  </si>
  <si>
    <t>Ableitung abrechenbarer Ziffern aus durchgeführten Analysen inkl. Ausschluss-/Kombinationsregeln.</t>
  </si>
  <si>
    <t>AB-04</t>
  </si>
  <si>
    <t>Abrechnungsprüfung</t>
  </si>
  <si>
    <t>Regelbasierte Prüfung auf Plausibilität, Begründungspflicht, Höchstwerte und Wirtschaftlichkeit.</t>
  </si>
  <si>
    <t>AB-05</t>
  </si>
  <si>
    <t>KV-Abrechnung / Quartalsabschluss</t>
  </si>
  <si>
    <t>GKV-/KV-Abrechnung inkl. Quartalsabschluss und Übermittlung (z. B. KVDT).</t>
  </si>
  <si>
    <t>AB-06</t>
  </si>
  <si>
    <t>Privatliquidation</t>
  </si>
  <si>
    <t>Privatärztliche Rechnungen (GOÄ) inkl. Steigerungsfaktoren, Begründungen und Mahnwesen.</t>
  </si>
  <si>
    <t>AB-07</t>
  </si>
  <si>
    <t>Kostenträger- &amp; Tarifverwaltung</t>
  </si>
  <si>
    <t>Verwaltung von Kostenträgern, Verträgen, Sondertarifen und einsenderspezifischen Konditionen.</t>
  </si>
  <si>
    <t>AB-08</t>
  </si>
  <si>
    <t>Storno &amp; Gutschrift</t>
  </si>
  <si>
    <t>Stornierung/Korrektur mit Begründung und Gutschriftsverwaltung.</t>
  </si>
  <si>
    <t>AB-09</t>
  </si>
  <si>
    <t>Stammdatenverwaltung</t>
  </si>
  <si>
    <t>Zentrale Pflege von Einsendern, Ärzten, Kostenträgern, Leistungskatalog und Materialstammdaten.</t>
  </si>
  <si>
    <t>AB-10</t>
  </si>
  <si>
    <t>Material- &amp; Lagerwirtschaft</t>
  </si>
  <si>
    <t>Verwaltung von Reagenzien/Verbrauchsmaterial inkl. Bestand, Chargen, Mindestmengen, Verfall.</t>
  </si>
  <si>
    <t>AB-11</t>
  </si>
  <si>
    <t>Chargen- &amp; Lot-Verfolgung</t>
  </si>
  <si>
    <t>Lückenlose Rückverfolgung verwendeter Reagenzchargen je Messung.</t>
  </si>
  <si>
    <t>AB-12</t>
  </si>
  <si>
    <t>Leistungs-/Umsatzstatistik</t>
  </si>
  <si>
    <t>Auswertungen zu Leistungsvolumen, Umsatz und Einsenderstruktur für das Controlling.</t>
  </si>
  <si>
    <t>AB-13</t>
  </si>
  <si>
    <t>Export von Abrechnungs-/Buchungsdaten an Finanzbuchhaltung/ERP (z. B. DATEV).</t>
  </si>
  <si>
    <t>QM</t>
  </si>
  <si>
    <t>QM-01</t>
  </si>
  <si>
    <t>Interne Qualitätskontrolle</t>
  </si>
  <si>
    <t>Verwaltung interner QK mit Levey-Jennings-Diagrammen und Westgard-Regeln.</t>
  </si>
  <si>
    <t>QM-02</t>
  </si>
  <si>
    <t>Externe Qualitätskontrolle</t>
  </si>
  <si>
    <t>Unterstützung externer Ringversuche/Eignungsprüfungen inkl. Dokumentation und Auswertung.</t>
  </si>
  <si>
    <t>QM-03</t>
  </si>
  <si>
    <t>RiliBÄK-Konformität</t>
  </si>
  <si>
    <t>Erfüllung der RiliBÄK-Anforderungen an interne und externe Qualitätssicherung inkl. Nachweisen.</t>
  </si>
  <si>
    <t>QM-04</t>
  </si>
  <si>
    <t>ISO 15189-Unterstützung</t>
  </si>
  <si>
    <t>QM-05</t>
  </si>
  <si>
    <t>Audit-Trail</t>
  </si>
  <si>
    <t>Revisionssichere, lückenlose Protokollierung sicherheits-/befundrelevanter Aktionen.</t>
  </si>
  <si>
    <t>QM-06</t>
  </si>
  <si>
    <t>Rollen- &amp; Rechtekonzept</t>
  </si>
  <si>
    <t>Granulare, rollenbasierte Berechtigung bis auf Funktions-, Analyt- und Mandantenebene.</t>
  </si>
  <si>
    <t>QM-07</t>
  </si>
  <si>
    <t>Authentifizierung &amp; SSO</t>
  </si>
  <si>
    <t>Sichere Authentifizierung inkl. SSO (LDAP/AD) und optional Mehrfaktor.</t>
  </si>
  <si>
    <t>QM-08</t>
  </si>
  <si>
    <t>DSGVO-Konformität</t>
  </si>
  <si>
    <t>Zugriffsbeschränkung, Löschkonzepte, Auskunft, Datensparsamkeit, Verschlüsselung.</t>
  </si>
  <si>
    <t>QM-09</t>
  </si>
  <si>
    <t>Mandantenfähigkeit</t>
  </si>
  <si>
    <t>Mandantenfähige Datenhaltung und -trennung für Labornetzwerke und Standortverbünde.</t>
  </si>
  <si>
    <t>QM-10</t>
  </si>
  <si>
    <t>Reporting &amp; Dashboards</t>
  </si>
  <si>
    <t>Konfigurierbare Auswertungen/Dashboards zu Durchlaufzeiten (TAT), Volumen, Qualität, Auslastung.</t>
  </si>
  <si>
    <t>QM-11</t>
  </si>
  <si>
    <t>Ad-hoc-Auswertung / BI</t>
  </si>
  <si>
    <t>Flexible Ad-hoc-Abfragen und Export für statistische/epidemiologische Auswertungen.</t>
  </si>
  <si>
    <t>QM-12</t>
  </si>
  <si>
    <t>Datensicherung &amp; Notbetrieb</t>
  </si>
  <si>
    <t>Konzept für Backup/Recovery, Hochverfügbarkeit und Notbetrieb mit definierten RTO/RPO.</t>
  </si>
  <si>
    <t>QM-13</t>
  </si>
  <si>
    <t>Aufbewahrung &amp; Archivierung</t>
  </si>
  <si>
    <t>Einhaltung gesetzlicher Aufbewahrungsfristen inkl. revisionssicherer Langzeitarchivierung.</t>
  </si>
  <si>
    <t>QM-14</t>
  </si>
  <si>
    <t>KI-gestützte Auffälligkeitsanalyse</t>
  </si>
  <si>
    <t>Optionale KI-/Analytik-Funktionen zur Erkennung von Mustern, Anomalien und Qualitätsabweichungen.</t>
  </si>
  <si>
    <t>adesso  |  Fit-Gap-Auswertung</t>
  </si>
  <si>
    <t>Kennzahlen (gewichtet: MUSS=3, SOLL=2, KANN=1 · Erfüllt=100%, Teilweise=50%, Lücke=0%)</t>
  </si>
  <si>
    <t>Erfüllungsgrad (gewichtet)</t>
  </si>
  <si>
    <t>über alle bewerteten Anforderungen</t>
  </si>
  <si>
    <t>Kritische Lücken (MUSS)</t>
  </si>
  <si>
    <t>als Lücke bewertete MUSS-Anforderungen</t>
  </si>
  <si>
    <t>Bewertete Anforderungen</t>
  </si>
  <si>
    <t>von 79 gesamt</t>
  </si>
  <si>
    <t>davon Erfüllt</t>
  </si>
  <si>
    <t>davon Teilweise</t>
  </si>
  <si>
    <t>davon Lücke</t>
  </si>
  <si>
    <t>Nicht relevant</t>
  </si>
  <si>
    <t>Noch nicht bewertet</t>
  </si>
  <si>
    <t>Abdeckung je Kategorie</t>
  </si>
  <si>
    <t>Erfüllungsgrad</t>
  </si>
  <si>
    <t>Erfüllt</t>
  </si>
  <si>
    <t>Teilw.</t>
  </si>
  <si>
    <t>Lücke</t>
  </si>
  <si>
    <t>OE · Order Entry &amp; Auftragsmanagement</t>
  </si>
  <si>
    <t>LIS · Kern-LIS</t>
  </si>
  <si>
    <t>MB · Mikrobiologie</t>
  </si>
  <si>
    <t>IF · Geraeteanbindung &amp; Schnittstellen</t>
  </si>
  <si>
    <t>AB · Abrechnung &amp; Verwaltung</t>
  </si>
  <si>
    <t>QM · Qualitaetsmanagement, Compliance &amp; Analytics</t>
  </si>
  <si>
    <t>Gesamt</t>
  </si>
  <si>
    <t>AB+M</t>
  </si>
  <si>
    <t>X</t>
  </si>
  <si>
    <t>je nach Anforderungsbereich</t>
  </si>
  <si>
    <t>derzeit nicht benötigt</t>
  </si>
  <si>
    <t>(Priorisierungslogik über Komm.server)</t>
  </si>
  <si>
    <t>Dubletten und Einsender-MDM</t>
  </si>
  <si>
    <t>PVT</t>
  </si>
  <si>
    <t>X (bevorzugt)</t>
  </si>
  <si>
    <t>X (Bei Scheinen)</t>
  </si>
  <si>
    <t>Nachforderung über WebApplikation</t>
  </si>
  <si>
    <t>Befund-App f. Einsender??? Alterantive Befund to Go</t>
  </si>
  <si>
    <t>LabAccess oder "Einsenderapp"</t>
  </si>
  <si>
    <t>"Einsenderapp"</t>
  </si>
  <si>
    <t>KI, leitlinienkonforme Parameterselektion + aktiver Vorschlag über Nachforderungen</t>
  </si>
  <si>
    <t>MDN. Materiallogik bereits umgesetzt.</t>
  </si>
  <si>
    <t>In C-Lab Doppelanforderungen berücksichtig</t>
  </si>
  <si>
    <t>R. LabOps</t>
  </si>
  <si>
    <t>Kommunikationsserver</t>
  </si>
  <si>
    <t>Sysmex</t>
  </si>
  <si>
    <t>X (Regelwerk führt)</t>
  </si>
  <si>
    <t>Über Serviceportal ?</t>
  </si>
  <si>
    <t>X (Exkl. Monitoring u. Analytics)</t>
  </si>
  <si>
    <t>PVS-Integration</t>
  </si>
  <si>
    <t>Offene, dokumentierte REST-/Web-Service-Schnittstelle für eigene oder externe Anwendungen. SINA CRM, SAP</t>
  </si>
  <si>
    <t>Consens</t>
  </si>
  <si>
    <t>Unterstützung der Akkreditierung nach ISO 15189 (A: Lenkung von Dokumenten, B: Geräten, Methoden).</t>
  </si>
  <si>
    <t>A</t>
  </si>
  <si>
    <t>B</t>
  </si>
  <si>
    <t>t.b.d.</t>
  </si>
  <si>
    <t>Ggf. intelligentes Abrechnungs-Vorschlagswesen</t>
  </si>
  <si>
    <t xml:space="preserve">Nochmal Kostenträgerrechnung im Detail angucken. Einzeltermin. Inhalt: Autom. Hlabertige Leistungen, Auswertung, </t>
  </si>
  <si>
    <t>SAP</t>
  </si>
  <si>
    <t>Langfristig: Einmalige Erfassung der Charge über SAP, dann Rückschrieb in QM SW</t>
  </si>
  <si>
    <t>Separates BI Projekt mit Fr. Leuthold, hat die SE ein separates BI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</si>
</sst>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color rgb="FF13294B"/>
      <name val="Arial"/>
      <charset val="1"/>
    </font>
    <font>
      <b/>
      <sz val="10"/>
      <color rgb="FF0077B0"/>
      <name val="Arial"/>
      <charset val="1"/>
    </font>
    <font>
      <sz val="10"/>
      <name val="Arial"/>
      <charset val="1"/>
    </font>
    <font>
      <b/>
      <sz val="10"/>
      <color rgb="FFC0392B"/>
      <name val="Arial"/>
      <charset val="1"/>
    </font>
    <font>
      <sz val="10"/>
      <color rgb="FF8A97A4"/>
      <name val="Arial"/>
      <charset val="1"/>
    </font>
    <font>
      <sz val="8"/>
      <color rgb="FFCCCCCC"/>
      <name val="Arial"/>
      <charset val="1"/>
    </font>
    <font>
      <b/>
      <sz val="10"/>
      <color rgb="FF5A6B7B"/>
      <name val="Arial"/>
      <charset val="1"/>
    </font>
    <font>
      <b/>
      <sz val="11"/>
      <color rgb="FF0077B0"/>
      <name val="Arial"/>
      <charset val="1"/>
    </font>
    <font>
      <b/>
      <sz val="11"/>
      <color rgb="FF5A6B7B"/>
      <name val="Arial"/>
      <charset val="1"/>
    </font>
    <font>
      <b/>
      <sz val="14"/>
      <color rgb="FF13294B"/>
      <name val="Arial"/>
      <charset val="1"/>
    </font>
    <font>
      <i/>
      <sz val="9"/>
      <color rgb="FF8A97A4"/>
      <name val="Arial"/>
      <charset val="1"/>
    </font>
    <font>
      <b/>
      <sz val="10"/>
      <color rgb="FFFFFFFF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3294B"/>
        <bgColor rgb="FF333333"/>
      </patternFill>
    </fill>
    <fill>
      <patternFill patternType="solid">
        <fgColor rgb="FF0098DB"/>
        <bgColor rgb="FF0077B0"/>
      </patternFill>
    </fill>
    <fill>
      <patternFill patternType="solid">
        <fgColor rgb="FF0077B0"/>
        <bgColor rgb="FF008080"/>
      </patternFill>
    </fill>
    <fill>
      <patternFill patternType="solid">
        <fgColor rgb="FFFBE9E7"/>
        <bgColor rgb="FFEEF1F4"/>
      </patternFill>
    </fill>
    <fill>
      <patternFill patternType="solid">
        <fgColor rgb="FFE6F3FB"/>
        <bgColor rgb="FFEEF1F4"/>
      </patternFill>
    </fill>
    <fill>
      <patternFill patternType="solid">
        <fgColor rgb="FFEEF1F4"/>
        <bgColor rgb="FFE6F3FB"/>
      </patternFill>
    </fill>
  </fills>
  <borders count="4">
    <border>
      <left/>
      <right/>
      <top/>
      <bottom/>
      <diagonal/>
    </border>
    <border>
      <left style="thin">
        <color rgb="FFE2E8EE"/>
      </left>
      <right style="thin">
        <color rgb="FFE2E8EE"/>
      </right>
      <top style="thin">
        <color rgb="FFE2E8EE"/>
      </top>
      <bottom style="thin">
        <color rgb="FFE2E8EE"/>
      </bottom>
      <diagonal/>
    </border>
    <border>
      <left style="thin">
        <color rgb="FFE2E8EE"/>
      </left>
      <right style="thin">
        <color rgb="FFE2E8EE"/>
      </right>
      <top/>
      <bottom/>
      <diagonal/>
    </border>
    <border>
      <left style="thin">
        <color rgb="FFE2E8EE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3" borderId="0" xfId="0" applyFont="1" applyFill="1" applyAlignment="1">
      <alignment vertical="center" indent="1"/>
    </xf>
    <xf numFmtId="0" fontId="1" fillId="2" borderId="0" xfId="0" applyFont="1" applyFill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indent="1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4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0" fontId="13" fillId="0" borderId="0" xfId="0" applyFont="1"/>
    <xf numFmtId="1" fontId="12" fillId="0" borderId="0" xfId="0" applyNumberFormat="1" applyFont="1"/>
    <xf numFmtId="0" fontId="2" fillId="4" borderId="1" xfId="0" applyFont="1" applyFill="1" applyBorder="1" applyAlignment="1">
      <alignment horizontal="center"/>
    </xf>
    <xf numFmtId="0" fontId="5" fillId="0" borderId="1" xfId="0" applyFont="1" applyBorder="1"/>
    <xf numFmtId="164" fontId="3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14" fillId="4" borderId="1" xfId="0" applyFont="1" applyFill="1" applyBorder="1" applyAlignment="1">
      <alignment horizontal="left" vertical="center" wrapText="1" indent="1"/>
    </xf>
    <xf numFmtId="0" fontId="14" fillId="4" borderId="2" xfId="0" applyFont="1" applyFill="1" applyBorder="1" applyAlignment="1">
      <alignment horizontal="left" vertical="center" wrapText="1" indent="1"/>
    </xf>
    <xf numFmtId="0" fontId="15" fillId="0" borderId="2" xfId="0" applyFont="1" applyFill="1" applyBorder="1" applyAlignment="1">
      <alignment vertical="center" wrapText="1" indent="1"/>
    </xf>
    <xf numFmtId="0" fontId="15" fillId="0" borderId="1" xfId="0" applyFont="1" applyBorder="1" applyAlignment="1">
      <alignment vertical="center" wrapText="1" indent="1"/>
    </xf>
    <xf numFmtId="0" fontId="15" fillId="0" borderId="3" xfId="0" applyFont="1" applyFill="1" applyBorder="1" applyAlignment="1">
      <alignment vertical="center" wrapText="1" indent="1"/>
    </xf>
    <xf numFmtId="0" fontId="14" fillId="4" borderId="0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4">
    <dxf>
      <font>
        <b/>
        <color rgb="FF5A6B7B"/>
        <name val="Arial"/>
        <charset val="1"/>
      </font>
      <fill>
        <patternFill>
          <bgColor rgb="FFEEF1F4"/>
        </patternFill>
      </fill>
    </dxf>
    <dxf>
      <font>
        <b/>
        <color rgb="FFC0392B"/>
        <name val="Arial"/>
        <charset val="1"/>
      </font>
      <fill>
        <patternFill>
          <bgColor rgb="FFFBE9E7"/>
        </patternFill>
      </fill>
    </dxf>
    <dxf>
      <font>
        <b/>
        <color rgb="FFB07A00"/>
        <name val="Arial"/>
        <charset val="1"/>
      </font>
      <fill>
        <patternFill>
          <bgColor rgb="FFFFF7E0"/>
        </patternFill>
      </fill>
    </dxf>
    <dxf>
      <font>
        <b/>
        <color rgb="FF2E7D32"/>
        <name val="Arial"/>
        <charset val="1"/>
      </font>
      <fill>
        <patternFill>
          <bgColor rgb="FFE8F5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A00"/>
      <rgbColor rgb="FF800080"/>
      <rgbColor rgb="FF0098DB"/>
      <rgbColor rgb="FFCCCCCC"/>
      <rgbColor rgb="FF808080"/>
      <rgbColor rgb="FFAAAAAA"/>
      <rgbColor rgb="FF993366"/>
      <rgbColor rgb="FFFFF7E0"/>
      <rgbColor rgb="FFE6F3FB"/>
      <rgbColor rgb="FF660066"/>
      <rgbColor rgb="FFFF8080"/>
      <rgbColor rgb="FF0077B0"/>
      <rgbColor rgb="FFEEF1F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E2E8EE"/>
      <rgbColor rgb="FFFBE9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7B"/>
      <rgbColor rgb="FF8A97A4"/>
      <rgbColor rgb="FF13294B"/>
      <rgbColor rgb="FF2E7D32"/>
      <rgbColor rgb="FF003300"/>
      <rgbColor rgb="FF333300"/>
      <rgbColor rgb="FFC0392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4"/>
  <sheetViews>
    <sheetView tabSelected="1" topLeftCell="F1" zoomScale="170" zoomScaleNormal="170" workbookViewId="0">
      <pane ySplit="4" topLeftCell="A57" activePane="bottomLeft" state="frozen"/>
      <selection pane="bottomLeft" activeCell="O60" sqref="O60"/>
    </sheetView>
  </sheetViews>
  <sheetFormatPr baseColWidth="10" defaultColWidth="8.6640625" defaultRowHeight="15" x14ac:dyDescent="0.2"/>
  <cols>
    <col min="1" max="1" width="11" customWidth="1"/>
    <col min="2" max="2" width="10" customWidth="1"/>
    <col min="3" max="3" width="34" customWidth="1"/>
    <col min="4" max="4" width="62" customWidth="1"/>
    <col min="5" max="5" width="12" customWidth="1"/>
    <col min="6" max="6" width="16" customWidth="1"/>
    <col min="7" max="7" width="40" customWidth="1"/>
    <col min="8" max="8" width="13.6640625" customWidth="1"/>
    <col min="9" max="13" width="10" hidden="1" customWidth="1"/>
    <col min="15" max="15" width="24.6640625" customWidth="1"/>
  </cols>
  <sheetData>
    <row r="1" spans="1:23" ht="30" customHeight="1" x14ac:dyDescent="0.2">
      <c r="A1" s="3" t="s">
        <v>0</v>
      </c>
      <c r="B1" s="3"/>
      <c r="C1" s="3"/>
      <c r="D1" s="3"/>
      <c r="E1" s="3"/>
      <c r="F1" s="3"/>
      <c r="G1" s="3"/>
    </row>
    <row r="2" spans="1:23" ht="19.5" customHeight="1" x14ac:dyDescent="0.2">
      <c r="A2" s="2" t="s">
        <v>1</v>
      </c>
      <c r="B2" s="2"/>
      <c r="C2" s="2"/>
      <c r="D2" s="2"/>
      <c r="E2" s="2"/>
      <c r="F2" s="2"/>
      <c r="G2" s="2"/>
    </row>
    <row r="4" spans="1:23" ht="25.5" customHeigh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4" t="s">
        <v>57</v>
      </c>
      <c r="H4" s="24" t="s">
        <v>13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280</v>
      </c>
      <c r="O4" s="24" t="s">
        <v>297</v>
      </c>
      <c r="P4" s="25" t="s">
        <v>286</v>
      </c>
      <c r="Q4" s="25" t="s">
        <v>296</v>
      </c>
      <c r="R4" s="29" t="s">
        <v>298</v>
      </c>
      <c r="S4" s="29" t="s">
        <v>311</v>
      </c>
      <c r="T4" s="29" t="s">
        <v>304</v>
      </c>
    </row>
    <row r="5" spans="1:23" ht="23.25" customHeight="1" x14ac:dyDescent="0.2">
      <c r="A5" s="5" t="s">
        <v>13</v>
      </c>
      <c r="B5" s="6" t="s">
        <v>14</v>
      </c>
      <c r="C5" s="7" t="s">
        <v>15</v>
      </c>
      <c r="D5" s="7" t="s">
        <v>16</v>
      </c>
      <c r="E5" s="8" t="s">
        <v>17</v>
      </c>
      <c r="F5" s="9" t="s">
        <v>18</v>
      </c>
      <c r="G5" s="7"/>
      <c r="H5" s="26" t="s">
        <v>281</v>
      </c>
      <c r="I5" s="10">
        <f t="shared" ref="I5:I37" si="0">IF(E5="MUSS",3,IF(E5="SOLL",2,1))</f>
        <v>3</v>
      </c>
      <c r="J5" s="10">
        <f t="shared" ref="J5:J37" si="1">IF(OR(F5="Erfüllt",F5="Teilweise",F5="Lücke"),1,0)</f>
        <v>0</v>
      </c>
      <c r="K5" s="10">
        <f t="shared" ref="K5:K37" si="2">IF(F5="Erfüllt",1,IF(F5="Teilweise",0.5,0))</f>
        <v>0</v>
      </c>
      <c r="L5" s="10">
        <f t="shared" ref="L5:L37" si="3">I5*J5*K5</f>
        <v>0</v>
      </c>
      <c r="M5" s="10">
        <f t="shared" ref="M5:M37" si="4">I5*J5</f>
        <v>0</v>
      </c>
    </row>
    <row r="6" spans="1:23" ht="23.25" customHeight="1" x14ac:dyDescent="0.2">
      <c r="A6" s="5" t="s">
        <v>13</v>
      </c>
      <c r="B6" s="6" t="s">
        <v>19</v>
      </c>
      <c r="C6" s="7" t="s">
        <v>20</v>
      </c>
      <c r="D6" s="7" t="s">
        <v>21</v>
      </c>
      <c r="E6" s="8" t="s">
        <v>17</v>
      </c>
      <c r="F6" s="9" t="s">
        <v>18</v>
      </c>
      <c r="G6" s="7"/>
      <c r="I6" s="10">
        <f t="shared" si="0"/>
        <v>3</v>
      </c>
      <c r="J6" s="10">
        <f t="shared" si="1"/>
        <v>0</v>
      </c>
      <c r="K6" s="10">
        <f t="shared" si="2"/>
        <v>0</v>
      </c>
      <c r="L6" s="10">
        <f t="shared" si="3"/>
        <v>0</v>
      </c>
      <c r="M6" s="10">
        <f t="shared" si="4"/>
        <v>0</v>
      </c>
      <c r="O6" t="s">
        <v>281</v>
      </c>
    </row>
    <row r="7" spans="1:23" ht="23.25" customHeight="1" x14ac:dyDescent="0.2">
      <c r="A7" s="5" t="s">
        <v>13</v>
      </c>
      <c r="B7" s="6" t="s">
        <v>22</v>
      </c>
      <c r="C7" s="7" t="s">
        <v>23</v>
      </c>
      <c r="D7" s="7" t="s">
        <v>24</v>
      </c>
      <c r="E7" s="8" t="s">
        <v>17</v>
      </c>
      <c r="F7" s="9" t="s">
        <v>18</v>
      </c>
      <c r="G7" s="7"/>
      <c r="H7" s="26" t="s">
        <v>281</v>
      </c>
      <c r="I7" s="10">
        <f t="shared" si="0"/>
        <v>3</v>
      </c>
      <c r="J7" s="10">
        <f t="shared" si="1"/>
        <v>0</v>
      </c>
      <c r="K7" s="10">
        <f t="shared" si="2"/>
        <v>0</v>
      </c>
      <c r="L7" s="10">
        <f t="shared" si="3"/>
        <v>0</v>
      </c>
      <c r="M7" s="10">
        <f t="shared" si="4"/>
        <v>0</v>
      </c>
      <c r="O7" t="s">
        <v>281</v>
      </c>
      <c r="V7" t="s">
        <v>282</v>
      </c>
    </row>
    <row r="8" spans="1:23" ht="23.25" customHeight="1" x14ac:dyDescent="0.2">
      <c r="A8" s="5" t="s">
        <v>13</v>
      </c>
      <c r="B8" s="6" t="s">
        <v>25</v>
      </c>
      <c r="C8" s="7" t="s">
        <v>26</v>
      </c>
      <c r="D8" s="7" t="s">
        <v>27</v>
      </c>
      <c r="E8" s="8" t="s">
        <v>17</v>
      </c>
      <c r="F8" s="9" t="s">
        <v>18</v>
      </c>
      <c r="G8" s="7"/>
      <c r="I8" s="10">
        <f t="shared" si="0"/>
        <v>3</v>
      </c>
      <c r="J8" s="10">
        <f t="shared" si="1"/>
        <v>0</v>
      </c>
      <c r="K8" s="10">
        <f t="shared" si="2"/>
        <v>0</v>
      </c>
      <c r="L8" s="10">
        <f t="shared" si="3"/>
        <v>0</v>
      </c>
      <c r="M8" s="10">
        <f t="shared" si="4"/>
        <v>0</v>
      </c>
      <c r="O8" t="s">
        <v>281</v>
      </c>
    </row>
    <row r="9" spans="1:23" ht="23.25" customHeight="1" x14ac:dyDescent="0.2">
      <c r="A9" s="5" t="s">
        <v>13</v>
      </c>
      <c r="B9" s="6" t="s">
        <v>28</v>
      </c>
      <c r="C9" s="7" t="s">
        <v>29</v>
      </c>
      <c r="D9" s="7" t="s">
        <v>30</v>
      </c>
      <c r="E9" s="8" t="s">
        <v>17</v>
      </c>
      <c r="F9" s="9" t="s">
        <v>18</v>
      </c>
      <c r="G9" s="7"/>
      <c r="H9" s="26"/>
      <c r="I9" s="10">
        <f t="shared" si="0"/>
        <v>3</v>
      </c>
      <c r="J9" s="10">
        <f t="shared" si="1"/>
        <v>0</v>
      </c>
      <c r="K9" s="10">
        <f t="shared" si="2"/>
        <v>0</v>
      </c>
      <c r="L9" s="10">
        <f t="shared" si="3"/>
        <v>0</v>
      </c>
      <c r="M9" s="10">
        <f t="shared" si="4"/>
        <v>0</v>
      </c>
      <c r="O9" t="s">
        <v>284</v>
      </c>
      <c r="P9" t="s">
        <v>283</v>
      </c>
    </row>
    <row r="10" spans="1:23" ht="23.25" customHeight="1" x14ac:dyDescent="0.2">
      <c r="A10" s="5" t="s">
        <v>13</v>
      </c>
      <c r="B10" s="6" t="s">
        <v>31</v>
      </c>
      <c r="C10" s="7" t="s">
        <v>32</v>
      </c>
      <c r="D10" s="7" t="s">
        <v>33</v>
      </c>
      <c r="E10" s="8" t="s">
        <v>17</v>
      </c>
      <c r="F10" s="9" t="s">
        <v>18</v>
      </c>
      <c r="G10" s="27" t="s">
        <v>281</v>
      </c>
      <c r="H10" t="s">
        <v>281</v>
      </c>
      <c r="I10" s="10">
        <f t="shared" si="0"/>
        <v>3</v>
      </c>
      <c r="J10" s="10">
        <f t="shared" si="1"/>
        <v>0</v>
      </c>
      <c r="K10" s="10">
        <f t="shared" si="2"/>
        <v>0</v>
      </c>
      <c r="L10" s="10">
        <f t="shared" si="3"/>
        <v>0</v>
      </c>
      <c r="M10" s="10">
        <f t="shared" si="4"/>
        <v>0</v>
      </c>
      <c r="N10" t="s">
        <v>281</v>
      </c>
    </row>
    <row r="11" spans="1:23" ht="23.25" customHeight="1" x14ac:dyDescent="0.2">
      <c r="A11" s="5"/>
      <c r="B11" s="6"/>
      <c r="C11" s="27" t="s">
        <v>285</v>
      </c>
      <c r="D11" s="7"/>
      <c r="E11" s="8"/>
      <c r="F11" s="9"/>
      <c r="G11" s="27"/>
      <c r="I11" s="10"/>
      <c r="J11" s="10"/>
      <c r="K11" s="10"/>
      <c r="L11" s="10"/>
      <c r="M11" s="10"/>
      <c r="O11" t="s">
        <v>281</v>
      </c>
    </row>
    <row r="12" spans="1:23" ht="23.25" customHeight="1" x14ac:dyDescent="0.2">
      <c r="A12" s="5" t="s">
        <v>13</v>
      </c>
      <c r="B12" s="6" t="s">
        <v>34</v>
      </c>
      <c r="C12" s="7" t="s">
        <v>35</v>
      </c>
      <c r="D12" s="7" t="s">
        <v>36</v>
      </c>
      <c r="E12" s="11" t="s">
        <v>37</v>
      </c>
      <c r="F12" s="9" t="s">
        <v>18</v>
      </c>
      <c r="G12" s="27" t="s">
        <v>281</v>
      </c>
      <c r="H12" s="26" t="s">
        <v>281</v>
      </c>
      <c r="I12" s="10">
        <f t="shared" si="0"/>
        <v>2</v>
      </c>
      <c r="J12" s="10">
        <f t="shared" si="1"/>
        <v>0</v>
      </c>
      <c r="K12" s="10">
        <f t="shared" si="2"/>
        <v>0</v>
      </c>
      <c r="L12" s="10">
        <f t="shared" si="3"/>
        <v>0</v>
      </c>
      <c r="M12" s="10">
        <f t="shared" si="4"/>
        <v>0</v>
      </c>
      <c r="N12" t="s">
        <v>281</v>
      </c>
    </row>
    <row r="13" spans="1:23" ht="23.25" customHeight="1" x14ac:dyDescent="0.2">
      <c r="A13" s="5" t="s">
        <v>13</v>
      </c>
      <c r="B13" s="6" t="s">
        <v>38</v>
      </c>
      <c r="C13" s="7" t="s">
        <v>39</v>
      </c>
      <c r="D13" s="7" t="s">
        <v>40</v>
      </c>
      <c r="E13" s="8" t="s">
        <v>17</v>
      </c>
      <c r="F13" s="9" t="s">
        <v>18</v>
      </c>
      <c r="G13" s="7"/>
      <c r="H13" s="26" t="s">
        <v>287</v>
      </c>
      <c r="I13" s="10">
        <f t="shared" si="0"/>
        <v>3</v>
      </c>
      <c r="J13" s="10">
        <f t="shared" si="1"/>
        <v>0</v>
      </c>
      <c r="K13" s="10">
        <f t="shared" si="2"/>
        <v>0</v>
      </c>
      <c r="L13" s="10">
        <f t="shared" si="3"/>
        <v>0</v>
      </c>
      <c r="M13" s="10">
        <f t="shared" si="4"/>
        <v>0</v>
      </c>
      <c r="P13" t="s">
        <v>281</v>
      </c>
    </row>
    <row r="14" spans="1:23" ht="23.25" customHeight="1" x14ac:dyDescent="0.2">
      <c r="A14" s="5" t="s">
        <v>13</v>
      </c>
      <c r="B14" s="6" t="s">
        <v>41</v>
      </c>
      <c r="C14" s="7" t="s">
        <v>42</v>
      </c>
      <c r="D14" s="7" t="s">
        <v>43</v>
      </c>
      <c r="E14" s="11" t="s">
        <v>37</v>
      </c>
      <c r="F14" s="9" t="s">
        <v>18</v>
      </c>
      <c r="G14" s="7"/>
      <c r="H14" s="28" t="s">
        <v>281</v>
      </c>
      <c r="I14" s="10">
        <f t="shared" si="0"/>
        <v>2</v>
      </c>
      <c r="J14" s="10">
        <f t="shared" si="1"/>
        <v>0</v>
      </c>
      <c r="K14" s="10">
        <f t="shared" si="2"/>
        <v>0</v>
      </c>
      <c r="L14" s="10">
        <f t="shared" si="3"/>
        <v>0</v>
      </c>
      <c r="M14" s="10">
        <f t="shared" si="4"/>
        <v>0</v>
      </c>
      <c r="N14" t="s">
        <v>288</v>
      </c>
    </row>
    <row r="15" spans="1:23" ht="23.25" customHeight="1" x14ac:dyDescent="0.2">
      <c r="A15" s="5" t="s">
        <v>13</v>
      </c>
      <c r="B15" s="6" t="s">
        <v>44</v>
      </c>
      <c r="C15" s="7" t="s">
        <v>45</v>
      </c>
      <c r="D15" s="7" t="s">
        <v>46</v>
      </c>
      <c r="E15" s="11" t="s">
        <v>37</v>
      </c>
      <c r="F15" s="9" t="s">
        <v>18</v>
      </c>
      <c r="G15" s="7"/>
      <c r="H15" s="28" t="s">
        <v>281</v>
      </c>
      <c r="I15" s="10">
        <f t="shared" si="0"/>
        <v>2</v>
      </c>
      <c r="J15" s="10">
        <f t="shared" si="1"/>
        <v>0</v>
      </c>
      <c r="K15" s="10">
        <f t="shared" si="2"/>
        <v>0</v>
      </c>
      <c r="L15" s="10">
        <f t="shared" si="3"/>
        <v>0</v>
      </c>
      <c r="M15" s="10">
        <f t="shared" si="4"/>
        <v>0</v>
      </c>
      <c r="V15" t="s">
        <v>289</v>
      </c>
      <c r="W15" t="s">
        <v>290</v>
      </c>
    </row>
    <row r="16" spans="1:23" ht="15" customHeight="1" x14ac:dyDescent="0.2">
      <c r="A16" s="5" t="s">
        <v>13</v>
      </c>
      <c r="B16" s="6" t="s">
        <v>47</v>
      </c>
      <c r="C16" s="7" t="s">
        <v>48</v>
      </c>
      <c r="D16" s="7" t="s">
        <v>49</v>
      </c>
      <c r="E16" s="11" t="s">
        <v>37</v>
      </c>
      <c r="F16" s="9" t="s">
        <v>18</v>
      </c>
      <c r="G16" s="7"/>
      <c r="H16" s="28" t="s">
        <v>291</v>
      </c>
      <c r="I16" s="10">
        <f t="shared" si="0"/>
        <v>2</v>
      </c>
      <c r="J16" s="10">
        <f t="shared" si="1"/>
        <v>0</v>
      </c>
      <c r="K16" s="10">
        <f t="shared" si="2"/>
        <v>0</v>
      </c>
      <c r="L16" s="10">
        <f t="shared" si="3"/>
        <v>0</v>
      </c>
      <c r="M16" s="10">
        <f t="shared" si="4"/>
        <v>0</v>
      </c>
    </row>
    <row r="17" spans="1:20" ht="15" customHeight="1" x14ac:dyDescent="0.2">
      <c r="A17" s="5" t="s">
        <v>13</v>
      </c>
      <c r="B17" s="6" t="s">
        <v>50</v>
      </c>
      <c r="C17" s="7" t="s">
        <v>51</v>
      </c>
      <c r="D17" s="7" t="s">
        <v>52</v>
      </c>
      <c r="E17" s="12" t="s">
        <v>53</v>
      </c>
      <c r="F17" s="9" t="s">
        <v>18</v>
      </c>
      <c r="G17" s="7"/>
      <c r="H17" s="28" t="s">
        <v>292</v>
      </c>
      <c r="I17" s="10">
        <f t="shared" si="0"/>
        <v>1</v>
      </c>
      <c r="J17" s="10">
        <f t="shared" si="1"/>
        <v>0</v>
      </c>
      <c r="K17" s="10">
        <f t="shared" si="2"/>
        <v>0</v>
      </c>
      <c r="L17" s="10">
        <f t="shared" si="3"/>
        <v>0</v>
      </c>
      <c r="M17" s="10">
        <f t="shared" si="4"/>
        <v>0</v>
      </c>
      <c r="T17" s="28" t="s">
        <v>292</v>
      </c>
    </row>
    <row r="18" spans="1:20" ht="23.25" customHeight="1" x14ac:dyDescent="0.2">
      <c r="A18" s="5" t="s">
        <v>13</v>
      </c>
      <c r="B18" s="6" t="s">
        <v>54</v>
      </c>
      <c r="C18" s="7" t="s">
        <v>55</v>
      </c>
      <c r="D18" s="7" t="s">
        <v>56</v>
      </c>
      <c r="E18" s="12" t="s">
        <v>53</v>
      </c>
      <c r="F18" s="9" t="s">
        <v>18</v>
      </c>
      <c r="G18" s="27" t="s">
        <v>295</v>
      </c>
      <c r="H18" s="28" t="s">
        <v>294</v>
      </c>
      <c r="I18" s="10">
        <f t="shared" si="0"/>
        <v>1</v>
      </c>
      <c r="J18" s="10">
        <f t="shared" si="1"/>
        <v>0</v>
      </c>
      <c r="K18" s="10">
        <f t="shared" si="2"/>
        <v>0</v>
      </c>
      <c r="L18" s="10">
        <f t="shared" si="3"/>
        <v>0</v>
      </c>
      <c r="M18" s="10">
        <f t="shared" si="4"/>
        <v>0</v>
      </c>
      <c r="T18" t="s">
        <v>293</v>
      </c>
    </row>
    <row r="19" spans="1:20" ht="23.25" customHeight="1" x14ac:dyDescent="0.2">
      <c r="A19" s="5" t="s">
        <v>57</v>
      </c>
      <c r="B19" s="6" t="s">
        <v>58</v>
      </c>
      <c r="C19" s="7" t="s">
        <v>59</v>
      </c>
      <c r="D19" s="7" t="s">
        <v>60</v>
      </c>
      <c r="E19" s="8" t="s">
        <v>17</v>
      </c>
      <c r="F19" s="9" t="s">
        <v>18</v>
      </c>
      <c r="G19" s="7"/>
      <c r="I19" s="10">
        <f t="shared" si="0"/>
        <v>3</v>
      </c>
      <c r="J19" s="10">
        <f t="shared" si="1"/>
        <v>0</v>
      </c>
      <c r="K19" s="10">
        <f t="shared" si="2"/>
        <v>0</v>
      </c>
      <c r="L19" s="10">
        <f t="shared" si="3"/>
        <v>0</v>
      </c>
      <c r="M19" s="10">
        <f t="shared" si="4"/>
        <v>0</v>
      </c>
      <c r="N19" t="s">
        <v>281</v>
      </c>
    </row>
    <row r="20" spans="1:20" ht="23.25" customHeight="1" x14ac:dyDescent="0.2">
      <c r="A20" s="5" t="s">
        <v>57</v>
      </c>
      <c r="B20" s="6" t="s">
        <v>61</v>
      </c>
      <c r="C20" s="7" t="s">
        <v>62</v>
      </c>
      <c r="D20" s="7" t="s">
        <v>63</v>
      </c>
      <c r="E20" s="8" t="s">
        <v>17</v>
      </c>
      <c r="F20" s="9" t="s">
        <v>18</v>
      </c>
      <c r="G20" s="7"/>
      <c r="I20" s="10">
        <f t="shared" si="0"/>
        <v>3</v>
      </c>
      <c r="J20" s="10">
        <f t="shared" si="1"/>
        <v>0</v>
      </c>
      <c r="K20" s="10">
        <f t="shared" si="2"/>
        <v>0</v>
      </c>
      <c r="L20" s="10">
        <f t="shared" si="3"/>
        <v>0</v>
      </c>
      <c r="M20" s="10">
        <f t="shared" si="4"/>
        <v>0</v>
      </c>
      <c r="O20" t="s">
        <v>281</v>
      </c>
    </row>
    <row r="21" spans="1:20" ht="15" customHeight="1" x14ac:dyDescent="0.2">
      <c r="A21" s="5" t="s">
        <v>57</v>
      </c>
      <c r="B21" s="6" t="s">
        <v>64</v>
      </c>
      <c r="C21" s="7" t="s">
        <v>65</v>
      </c>
      <c r="D21" s="7" t="s">
        <v>66</v>
      </c>
      <c r="E21" s="8" t="s">
        <v>17</v>
      </c>
      <c r="F21" s="9" t="s">
        <v>18</v>
      </c>
      <c r="G21" s="7"/>
      <c r="I21" s="10">
        <f t="shared" si="0"/>
        <v>3</v>
      </c>
      <c r="J21" s="10">
        <f t="shared" si="1"/>
        <v>0</v>
      </c>
      <c r="K21" s="10">
        <f t="shared" si="2"/>
        <v>0</v>
      </c>
      <c r="L21" s="10">
        <f t="shared" si="3"/>
        <v>0</v>
      </c>
      <c r="M21" s="10">
        <f t="shared" si="4"/>
        <v>0</v>
      </c>
      <c r="O21" t="s">
        <v>281</v>
      </c>
    </row>
    <row r="22" spans="1:20" ht="23.25" customHeight="1" x14ac:dyDescent="0.2">
      <c r="A22" s="5" t="s">
        <v>57</v>
      </c>
      <c r="B22" s="6" t="s">
        <v>67</v>
      </c>
      <c r="C22" s="7" t="s">
        <v>68</v>
      </c>
      <c r="D22" s="7" t="s">
        <v>69</v>
      </c>
      <c r="E22" s="11" t="s">
        <v>37</v>
      </c>
      <c r="F22" s="9" t="s">
        <v>18</v>
      </c>
      <c r="G22" s="7"/>
      <c r="I22" s="10">
        <f t="shared" si="0"/>
        <v>2</v>
      </c>
      <c r="J22" s="10">
        <f t="shared" si="1"/>
        <v>0</v>
      </c>
      <c r="K22" s="10">
        <f t="shared" si="2"/>
        <v>0</v>
      </c>
      <c r="L22" s="10">
        <f t="shared" si="3"/>
        <v>0</v>
      </c>
      <c r="M22" s="10">
        <f t="shared" si="4"/>
        <v>0</v>
      </c>
      <c r="Q22" t="s">
        <v>281</v>
      </c>
    </row>
    <row r="23" spans="1:20" ht="23.25" customHeight="1" x14ac:dyDescent="0.2">
      <c r="A23" s="5" t="s">
        <v>57</v>
      </c>
      <c r="B23" s="6" t="s">
        <v>70</v>
      </c>
      <c r="C23" s="7" t="s">
        <v>71</v>
      </c>
      <c r="D23" s="7" t="s">
        <v>72</v>
      </c>
      <c r="E23" s="8" t="s">
        <v>17</v>
      </c>
      <c r="F23" s="9" t="s">
        <v>18</v>
      </c>
      <c r="G23" s="27" t="s">
        <v>281</v>
      </c>
      <c r="I23" s="10">
        <f t="shared" si="0"/>
        <v>3</v>
      </c>
      <c r="J23" s="10">
        <f t="shared" si="1"/>
        <v>0</v>
      </c>
      <c r="K23" s="10">
        <f t="shared" si="2"/>
        <v>0</v>
      </c>
      <c r="L23" s="10">
        <f t="shared" si="3"/>
        <v>0</v>
      </c>
      <c r="M23" s="10">
        <f t="shared" si="4"/>
        <v>0</v>
      </c>
      <c r="O23" t="s">
        <v>281</v>
      </c>
    </row>
    <row r="24" spans="1:20" ht="23.25" customHeight="1" x14ac:dyDescent="0.2">
      <c r="A24" s="5" t="s">
        <v>57</v>
      </c>
      <c r="B24" s="6" t="s">
        <v>73</v>
      </c>
      <c r="C24" s="7" t="s">
        <v>74</v>
      </c>
      <c r="D24" s="7" t="s">
        <v>75</v>
      </c>
      <c r="E24" s="8" t="s">
        <v>17</v>
      </c>
      <c r="F24" s="9" t="s">
        <v>18</v>
      </c>
      <c r="G24" s="27"/>
      <c r="I24" s="10">
        <f t="shared" si="0"/>
        <v>3</v>
      </c>
      <c r="J24" s="10">
        <f t="shared" si="1"/>
        <v>0</v>
      </c>
      <c r="K24" s="10">
        <f t="shared" si="2"/>
        <v>0</v>
      </c>
      <c r="L24" s="10">
        <f t="shared" si="3"/>
        <v>0</v>
      </c>
      <c r="M24" s="10">
        <f t="shared" si="4"/>
        <v>0</v>
      </c>
      <c r="O24" t="s">
        <v>281</v>
      </c>
    </row>
    <row r="25" spans="1:20" ht="23.25" customHeight="1" x14ac:dyDescent="0.2">
      <c r="A25" s="5" t="s">
        <v>57</v>
      </c>
      <c r="B25" s="6" t="s">
        <v>76</v>
      </c>
      <c r="C25" s="7" t="s">
        <v>77</v>
      </c>
      <c r="D25" s="7" t="s">
        <v>78</v>
      </c>
      <c r="E25" s="8" t="s">
        <v>17</v>
      </c>
      <c r="F25" s="9" t="s">
        <v>18</v>
      </c>
      <c r="G25" s="7"/>
      <c r="I25" s="10">
        <f t="shared" si="0"/>
        <v>3</v>
      </c>
      <c r="J25" s="10">
        <f t="shared" si="1"/>
        <v>0</v>
      </c>
      <c r="K25" s="10">
        <f t="shared" si="2"/>
        <v>0</v>
      </c>
      <c r="L25" s="10">
        <f t="shared" si="3"/>
        <v>0</v>
      </c>
      <c r="M25" s="10">
        <f t="shared" si="4"/>
        <v>0</v>
      </c>
      <c r="Q25" t="s">
        <v>281</v>
      </c>
      <c r="R25" t="s">
        <v>281</v>
      </c>
    </row>
    <row r="26" spans="1:20" ht="23.25" customHeight="1" x14ac:dyDescent="0.2">
      <c r="A26" s="5" t="s">
        <v>57</v>
      </c>
      <c r="B26" s="6" t="s">
        <v>79</v>
      </c>
      <c r="C26" s="7" t="s">
        <v>80</v>
      </c>
      <c r="D26" s="7" t="s">
        <v>81</v>
      </c>
      <c r="E26" s="8" t="s">
        <v>17</v>
      </c>
      <c r="F26" s="9" t="s">
        <v>18</v>
      </c>
      <c r="G26" s="27" t="s">
        <v>281</v>
      </c>
      <c r="I26" s="10">
        <f t="shared" si="0"/>
        <v>3</v>
      </c>
      <c r="J26" s="10">
        <f t="shared" si="1"/>
        <v>0</v>
      </c>
      <c r="K26" s="10">
        <f t="shared" si="2"/>
        <v>0</v>
      </c>
      <c r="L26" s="10">
        <f t="shared" si="3"/>
        <v>0</v>
      </c>
      <c r="M26" s="10">
        <f t="shared" si="4"/>
        <v>0</v>
      </c>
      <c r="O26" t="s">
        <v>299</v>
      </c>
    </row>
    <row r="27" spans="1:20" ht="23.25" customHeight="1" x14ac:dyDescent="0.2">
      <c r="A27" s="5" t="s">
        <v>57</v>
      </c>
      <c r="B27" s="6" t="s">
        <v>82</v>
      </c>
      <c r="C27" s="7" t="s">
        <v>83</v>
      </c>
      <c r="D27" s="7" t="s">
        <v>84</v>
      </c>
      <c r="E27" s="8" t="s">
        <v>17</v>
      </c>
      <c r="F27" s="9" t="s">
        <v>18</v>
      </c>
      <c r="G27" s="27" t="s">
        <v>281</v>
      </c>
      <c r="I27" s="10">
        <f t="shared" si="0"/>
        <v>3</v>
      </c>
      <c r="J27" s="10">
        <f t="shared" si="1"/>
        <v>0</v>
      </c>
      <c r="K27" s="10">
        <f t="shared" si="2"/>
        <v>0</v>
      </c>
      <c r="L27" s="10">
        <f t="shared" si="3"/>
        <v>0</v>
      </c>
      <c r="M27" s="10">
        <f t="shared" si="4"/>
        <v>0</v>
      </c>
      <c r="O27" t="s">
        <v>299</v>
      </c>
    </row>
    <row r="28" spans="1:20" ht="23.25" customHeight="1" x14ac:dyDescent="0.2">
      <c r="A28" s="5" t="s">
        <v>57</v>
      </c>
      <c r="B28" s="6" t="s">
        <v>85</v>
      </c>
      <c r="C28" s="7" t="s">
        <v>86</v>
      </c>
      <c r="D28" s="7" t="s">
        <v>87</v>
      </c>
      <c r="E28" s="11" t="s">
        <v>37</v>
      </c>
      <c r="F28" s="9" t="s">
        <v>18</v>
      </c>
      <c r="G28" s="27" t="s">
        <v>281</v>
      </c>
      <c r="I28" s="10">
        <f t="shared" si="0"/>
        <v>2</v>
      </c>
      <c r="J28" s="10">
        <f t="shared" si="1"/>
        <v>0</v>
      </c>
      <c r="K28" s="10">
        <f t="shared" si="2"/>
        <v>0</v>
      </c>
      <c r="L28" s="10">
        <f t="shared" si="3"/>
        <v>0</v>
      </c>
      <c r="M28" s="10">
        <f t="shared" si="4"/>
        <v>0</v>
      </c>
      <c r="T28" t="s">
        <v>300</v>
      </c>
    </row>
    <row r="29" spans="1:20" ht="23.25" customHeight="1" x14ac:dyDescent="0.2">
      <c r="A29" s="5" t="s">
        <v>57</v>
      </c>
      <c r="B29" s="6" t="s">
        <v>88</v>
      </c>
      <c r="C29" s="7" t="s">
        <v>89</v>
      </c>
      <c r="D29" s="7" t="s">
        <v>90</v>
      </c>
      <c r="E29" s="8" t="s">
        <v>17</v>
      </c>
      <c r="F29" s="9" t="s">
        <v>18</v>
      </c>
      <c r="G29" s="7"/>
      <c r="I29" s="10">
        <f t="shared" si="0"/>
        <v>3</v>
      </c>
      <c r="J29" s="10">
        <f t="shared" si="1"/>
        <v>0</v>
      </c>
      <c r="K29" s="10">
        <f t="shared" si="2"/>
        <v>0</v>
      </c>
      <c r="L29" s="10">
        <f t="shared" si="3"/>
        <v>0</v>
      </c>
      <c r="M29" s="10">
        <f t="shared" si="4"/>
        <v>0</v>
      </c>
    </row>
    <row r="30" spans="1:20" ht="23.25" customHeight="1" x14ac:dyDescent="0.2">
      <c r="A30" s="5" t="s">
        <v>57</v>
      </c>
      <c r="B30" s="6" t="s">
        <v>91</v>
      </c>
      <c r="C30" s="7" t="s">
        <v>92</v>
      </c>
      <c r="D30" s="7" t="s">
        <v>93</v>
      </c>
      <c r="E30" s="8" t="s">
        <v>17</v>
      </c>
      <c r="F30" s="9" t="s">
        <v>18</v>
      </c>
      <c r="G30" s="7"/>
      <c r="I30" s="10">
        <f t="shared" si="0"/>
        <v>3</v>
      </c>
      <c r="J30" s="10">
        <f t="shared" si="1"/>
        <v>0</v>
      </c>
      <c r="K30" s="10">
        <f t="shared" si="2"/>
        <v>0</v>
      </c>
      <c r="L30" s="10">
        <f t="shared" si="3"/>
        <v>0</v>
      </c>
      <c r="M30" s="10">
        <f t="shared" si="4"/>
        <v>0</v>
      </c>
    </row>
    <row r="31" spans="1:20" ht="23.25" customHeight="1" x14ac:dyDescent="0.2">
      <c r="A31" s="5" t="s">
        <v>57</v>
      </c>
      <c r="B31" s="6" t="s">
        <v>94</v>
      </c>
      <c r="C31" s="7" t="s">
        <v>95</v>
      </c>
      <c r="D31" s="7" t="s">
        <v>96</v>
      </c>
      <c r="E31" s="11" t="s">
        <v>37</v>
      </c>
      <c r="F31" s="9" t="s">
        <v>18</v>
      </c>
      <c r="G31" s="7"/>
      <c r="I31" s="10">
        <f t="shared" si="0"/>
        <v>2</v>
      </c>
      <c r="J31" s="10">
        <f t="shared" si="1"/>
        <v>0</v>
      </c>
      <c r="K31" s="10">
        <f t="shared" si="2"/>
        <v>0</v>
      </c>
      <c r="L31" s="10">
        <f t="shared" si="3"/>
        <v>0</v>
      </c>
      <c r="M31" s="10">
        <f t="shared" si="4"/>
        <v>0</v>
      </c>
    </row>
    <row r="32" spans="1:20" ht="23.25" customHeight="1" x14ac:dyDescent="0.2">
      <c r="A32" s="5" t="s">
        <v>57</v>
      </c>
      <c r="B32" s="6" t="s">
        <v>97</v>
      </c>
      <c r="C32" s="7" t="s">
        <v>98</v>
      </c>
      <c r="D32" s="7" t="s">
        <v>99</v>
      </c>
      <c r="E32" s="11" t="s">
        <v>37</v>
      </c>
      <c r="F32" s="9" t="s">
        <v>18</v>
      </c>
      <c r="G32" s="7"/>
      <c r="I32" s="10">
        <f t="shared" si="0"/>
        <v>2</v>
      </c>
      <c r="J32" s="10">
        <f t="shared" si="1"/>
        <v>0</v>
      </c>
      <c r="K32" s="10">
        <f t="shared" si="2"/>
        <v>0</v>
      </c>
      <c r="L32" s="10">
        <f t="shared" si="3"/>
        <v>0</v>
      </c>
      <c r="M32" s="10">
        <f t="shared" si="4"/>
        <v>0</v>
      </c>
    </row>
    <row r="33" spans="1:18" ht="23.25" customHeight="1" x14ac:dyDescent="0.2">
      <c r="A33" s="5" t="s">
        <v>57</v>
      </c>
      <c r="B33" s="6" t="s">
        <v>100</v>
      </c>
      <c r="C33" s="7" t="s">
        <v>101</v>
      </c>
      <c r="D33" s="7" t="s">
        <v>102</v>
      </c>
      <c r="E33" s="11" t="s">
        <v>37</v>
      </c>
      <c r="F33" s="9" t="s">
        <v>18</v>
      </c>
      <c r="G33" s="7"/>
      <c r="I33" s="10">
        <f t="shared" si="0"/>
        <v>2</v>
      </c>
      <c r="J33" s="10">
        <f t="shared" si="1"/>
        <v>0</v>
      </c>
      <c r="K33" s="10">
        <f t="shared" si="2"/>
        <v>0</v>
      </c>
      <c r="L33" s="10">
        <f t="shared" si="3"/>
        <v>0</v>
      </c>
      <c r="M33" s="10">
        <f t="shared" si="4"/>
        <v>0</v>
      </c>
    </row>
    <row r="34" spans="1:18" ht="23.25" customHeight="1" x14ac:dyDescent="0.2">
      <c r="A34" s="5" t="s">
        <v>57</v>
      </c>
      <c r="B34" s="6" t="s">
        <v>103</v>
      </c>
      <c r="C34" s="7" t="s">
        <v>104</v>
      </c>
      <c r="D34" s="7" t="s">
        <v>105</v>
      </c>
      <c r="E34" s="12" t="s">
        <v>53</v>
      </c>
      <c r="F34" s="9" t="s">
        <v>18</v>
      </c>
      <c r="G34" s="7"/>
      <c r="I34" s="10">
        <f t="shared" si="0"/>
        <v>1</v>
      </c>
      <c r="J34" s="10">
        <f t="shared" si="1"/>
        <v>0</v>
      </c>
      <c r="K34" s="10">
        <f t="shared" si="2"/>
        <v>0</v>
      </c>
      <c r="L34" s="10">
        <f t="shared" si="3"/>
        <v>0</v>
      </c>
      <c r="M34" s="10">
        <f t="shared" si="4"/>
        <v>0</v>
      </c>
    </row>
    <row r="35" spans="1:18" ht="23.25" customHeight="1" x14ac:dyDescent="0.2">
      <c r="A35" s="5" t="s">
        <v>106</v>
      </c>
      <c r="B35" s="6" t="s">
        <v>107</v>
      </c>
      <c r="C35" s="7" t="s">
        <v>108</v>
      </c>
      <c r="D35" s="7" t="s">
        <v>109</v>
      </c>
      <c r="E35" s="8" t="s">
        <v>17</v>
      </c>
      <c r="F35" s="9" t="s">
        <v>18</v>
      </c>
      <c r="G35" s="7"/>
      <c r="I35" s="10">
        <f t="shared" si="0"/>
        <v>3</v>
      </c>
      <c r="J35" s="10">
        <f t="shared" si="1"/>
        <v>0</v>
      </c>
      <c r="K35" s="10">
        <f t="shared" si="2"/>
        <v>0</v>
      </c>
      <c r="L35" s="10">
        <f t="shared" si="3"/>
        <v>0</v>
      </c>
      <c r="M35" s="10">
        <f t="shared" si="4"/>
        <v>0</v>
      </c>
    </row>
    <row r="36" spans="1:18" ht="23.25" customHeight="1" x14ac:dyDescent="0.2">
      <c r="A36" s="5" t="s">
        <v>106</v>
      </c>
      <c r="B36" s="6" t="s">
        <v>110</v>
      </c>
      <c r="C36" s="7" t="s">
        <v>111</v>
      </c>
      <c r="D36" s="7" t="s">
        <v>112</v>
      </c>
      <c r="E36" s="8" t="s">
        <v>17</v>
      </c>
      <c r="F36" s="9" t="s">
        <v>18</v>
      </c>
      <c r="G36" s="7"/>
      <c r="I36" s="10">
        <f t="shared" si="0"/>
        <v>3</v>
      </c>
      <c r="J36" s="10">
        <f t="shared" si="1"/>
        <v>0</v>
      </c>
      <c r="K36" s="10">
        <f t="shared" si="2"/>
        <v>0</v>
      </c>
      <c r="L36" s="10">
        <f t="shared" si="3"/>
        <v>0</v>
      </c>
      <c r="M36" s="10">
        <f t="shared" si="4"/>
        <v>0</v>
      </c>
    </row>
    <row r="37" spans="1:18" ht="23.25" customHeight="1" x14ac:dyDescent="0.2">
      <c r="A37" s="5" t="s">
        <v>106</v>
      </c>
      <c r="B37" s="6" t="s">
        <v>113</v>
      </c>
      <c r="C37" s="7" t="s">
        <v>114</v>
      </c>
      <c r="D37" s="7" t="s">
        <v>115</v>
      </c>
      <c r="E37" s="8" t="s">
        <v>17</v>
      </c>
      <c r="F37" s="9" t="s">
        <v>18</v>
      </c>
      <c r="G37" s="7"/>
      <c r="I37" s="10">
        <f t="shared" si="0"/>
        <v>3</v>
      </c>
      <c r="J37" s="10">
        <f t="shared" si="1"/>
        <v>0</v>
      </c>
      <c r="K37" s="10">
        <f t="shared" si="2"/>
        <v>0</v>
      </c>
      <c r="L37" s="10">
        <f t="shared" si="3"/>
        <v>0</v>
      </c>
      <c r="M37" s="10">
        <f t="shared" si="4"/>
        <v>0</v>
      </c>
    </row>
    <row r="38" spans="1:18" ht="23.25" customHeight="1" x14ac:dyDescent="0.2">
      <c r="A38" s="5" t="s">
        <v>106</v>
      </c>
      <c r="B38" s="6" t="s">
        <v>116</v>
      </c>
      <c r="C38" s="7" t="s">
        <v>117</v>
      </c>
      <c r="D38" s="7" t="s">
        <v>118</v>
      </c>
      <c r="E38" s="8" t="s">
        <v>17</v>
      </c>
      <c r="F38" s="9" t="s">
        <v>18</v>
      </c>
      <c r="G38" s="7"/>
      <c r="I38" s="10">
        <f t="shared" ref="I38:I69" si="5">IF(E38="MUSS",3,IF(E38="SOLL",2,1))</f>
        <v>3</v>
      </c>
      <c r="J38" s="10">
        <f t="shared" ref="J38:J69" si="6">IF(OR(F38="Erfüllt",F38="Teilweise",F38="Lücke"),1,0)</f>
        <v>0</v>
      </c>
      <c r="K38" s="10">
        <f t="shared" ref="K38:K69" si="7">IF(F38="Erfüllt",1,IF(F38="Teilweise",0.5,0))</f>
        <v>0</v>
      </c>
      <c r="L38" s="10">
        <f t="shared" ref="L38:L69" si="8">I38*J38*K38</f>
        <v>0</v>
      </c>
      <c r="M38" s="10">
        <f t="shared" ref="M38:M69" si="9">I38*J38</f>
        <v>0</v>
      </c>
    </row>
    <row r="39" spans="1:18" ht="23.25" customHeight="1" x14ac:dyDescent="0.2">
      <c r="A39" s="5" t="s">
        <v>106</v>
      </c>
      <c r="B39" s="6" t="s">
        <v>119</v>
      </c>
      <c r="C39" s="7" t="s">
        <v>120</v>
      </c>
      <c r="D39" s="7" t="s">
        <v>121</v>
      </c>
      <c r="E39" s="8" t="s">
        <v>17</v>
      </c>
      <c r="F39" s="9" t="s">
        <v>18</v>
      </c>
      <c r="G39" s="7"/>
      <c r="I39" s="10">
        <f t="shared" si="5"/>
        <v>3</v>
      </c>
      <c r="J39" s="10">
        <f t="shared" si="6"/>
        <v>0</v>
      </c>
      <c r="K39" s="10">
        <f t="shared" si="7"/>
        <v>0</v>
      </c>
      <c r="L39" s="10">
        <f t="shared" si="8"/>
        <v>0</v>
      </c>
      <c r="M39" s="10">
        <f t="shared" si="9"/>
        <v>0</v>
      </c>
    </row>
    <row r="40" spans="1:18" ht="15" customHeight="1" x14ac:dyDescent="0.2">
      <c r="A40" s="5" t="s">
        <v>106</v>
      </c>
      <c r="B40" s="6" t="s">
        <v>122</v>
      </c>
      <c r="C40" s="7" t="s">
        <v>123</v>
      </c>
      <c r="D40" s="7" t="s">
        <v>124</v>
      </c>
      <c r="E40" s="8" t="s">
        <v>17</v>
      </c>
      <c r="F40" s="9" t="s">
        <v>18</v>
      </c>
      <c r="G40" s="7"/>
      <c r="I40" s="10">
        <f t="shared" si="5"/>
        <v>3</v>
      </c>
      <c r="J40" s="10">
        <f t="shared" si="6"/>
        <v>0</v>
      </c>
      <c r="K40" s="10">
        <f t="shared" si="7"/>
        <v>0</v>
      </c>
      <c r="L40" s="10">
        <f t="shared" si="8"/>
        <v>0</v>
      </c>
      <c r="M40" s="10">
        <f t="shared" si="9"/>
        <v>0</v>
      </c>
    </row>
    <row r="41" spans="1:18" ht="23.25" customHeight="1" x14ac:dyDescent="0.2">
      <c r="A41" s="5" t="s">
        <v>106</v>
      </c>
      <c r="B41" s="6" t="s">
        <v>125</v>
      </c>
      <c r="C41" s="7" t="s">
        <v>126</v>
      </c>
      <c r="D41" s="7" t="s">
        <v>127</v>
      </c>
      <c r="E41" s="8" t="s">
        <v>17</v>
      </c>
      <c r="F41" s="9" t="s">
        <v>18</v>
      </c>
      <c r="G41" s="7"/>
      <c r="I41" s="10">
        <f t="shared" si="5"/>
        <v>3</v>
      </c>
      <c r="J41" s="10">
        <f t="shared" si="6"/>
        <v>0</v>
      </c>
      <c r="K41" s="10">
        <f t="shared" si="7"/>
        <v>0</v>
      </c>
      <c r="L41" s="10">
        <f t="shared" si="8"/>
        <v>0</v>
      </c>
      <c r="M41" s="10">
        <f t="shared" si="9"/>
        <v>0</v>
      </c>
    </row>
    <row r="42" spans="1:18" ht="23.25" customHeight="1" x14ac:dyDescent="0.2">
      <c r="A42" s="5" t="s">
        <v>106</v>
      </c>
      <c r="B42" s="6" t="s">
        <v>128</v>
      </c>
      <c r="C42" s="7" t="s">
        <v>129</v>
      </c>
      <c r="D42" s="7" t="s">
        <v>130</v>
      </c>
      <c r="E42" s="11" t="s">
        <v>37</v>
      </c>
      <c r="F42" s="9" t="s">
        <v>18</v>
      </c>
      <c r="G42" s="7"/>
      <c r="I42" s="10">
        <f t="shared" si="5"/>
        <v>2</v>
      </c>
      <c r="J42" s="10">
        <f t="shared" si="6"/>
        <v>0</v>
      </c>
      <c r="K42" s="10">
        <f t="shared" si="7"/>
        <v>0</v>
      </c>
      <c r="L42" s="10">
        <f t="shared" si="8"/>
        <v>0</v>
      </c>
      <c r="M42" s="10">
        <f t="shared" si="9"/>
        <v>0</v>
      </c>
    </row>
    <row r="43" spans="1:18" ht="15" customHeight="1" x14ac:dyDescent="0.2">
      <c r="A43" s="5" t="s">
        <v>106</v>
      </c>
      <c r="B43" s="6" t="s">
        <v>131</v>
      </c>
      <c r="C43" s="7" t="s">
        <v>132</v>
      </c>
      <c r="D43" s="7" t="s">
        <v>133</v>
      </c>
      <c r="E43" s="11" t="s">
        <v>37</v>
      </c>
      <c r="F43" s="9" t="s">
        <v>18</v>
      </c>
      <c r="G43" s="7"/>
      <c r="I43" s="10">
        <f t="shared" si="5"/>
        <v>2</v>
      </c>
      <c r="J43" s="10">
        <f t="shared" si="6"/>
        <v>0</v>
      </c>
      <c r="K43" s="10">
        <f t="shared" si="7"/>
        <v>0</v>
      </c>
      <c r="L43" s="10">
        <f t="shared" si="8"/>
        <v>0</v>
      </c>
      <c r="M43" s="10">
        <f t="shared" si="9"/>
        <v>0</v>
      </c>
    </row>
    <row r="44" spans="1:18" ht="23.25" customHeight="1" x14ac:dyDescent="0.2">
      <c r="A44" s="5" t="s">
        <v>106</v>
      </c>
      <c r="B44" s="6" t="s">
        <v>134</v>
      </c>
      <c r="C44" s="7" t="s">
        <v>135</v>
      </c>
      <c r="D44" s="7" t="s">
        <v>136</v>
      </c>
      <c r="E44" s="11" t="s">
        <v>37</v>
      </c>
      <c r="F44" s="9" t="s">
        <v>18</v>
      </c>
      <c r="G44" s="7"/>
      <c r="I44" s="10">
        <f t="shared" si="5"/>
        <v>2</v>
      </c>
      <c r="J44" s="10">
        <f t="shared" si="6"/>
        <v>0</v>
      </c>
      <c r="K44" s="10">
        <f t="shared" si="7"/>
        <v>0</v>
      </c>
      <c r="L44" s="10">
        <f t="shared" si="8"/>
        <v>0</v>
      </c>
      <c r="M44" s="10">
        <f t="shared" si="9"/>
        <v>0</v>
      </c>
    </row>
    <row r="45" spans="1:18" ht="23.25" customHeight="1" x14ac:dyDescent="0.2">
      <c r="A45" s="5" t="s">
        <v>106</v>
      </c>
      <c r="B45" s="6" t="s">
        <v>137</v>
      </c>
      <c r="C45" s="7" t="s">
        <v>138</v>
      </c>
      <c r="D45" s="7" t="s">
        <v>139</v>
      </c>
      <c r="E45" s="8" t="s">
        <v>17</v>
      </c>
      <c r="F45" s="9" t="s">
        <v>18</v>
      </c>
      <c r="G45" s="7"/>
      <c r="I45" s="10">
        <f t="shared" si="5"/>
        <v>3</v>
      </c>
      <c r="J45" s="10">
        <f t="shared" si="6"/>
        <v>0</v>
      </c>
      <c r="K45" s="10">
        <f t="shared" si="7"/>
        <v>0</v>
      </c>
      <c r="L45" s="10">
        <f t="shared" si="8"/>
        <v>0</v>
      </c>
      <c r="M45" s="10">
        <f t="shared" si="9"/>
        <v>0</v>
      </c>
    </row>
    <row r="46" spans="1:18" ht="23.25" customHeight="1" x14ac:dyDescent="0.2">
      <c r="A46" s="5" t="s">
        <v>140</v>
      </c>
      <c r="B46" s="6" t="s">
        <v>141</v>
      </c>
      <c r="C46" s="7" t="s">
        <v>142</v>
      </c>
      <c r="D46" s="7" t="s">
        <v>143</v>
      </c>
      <c r="E46" s="8" t="s">
        <v>17</v>
      </c>
      <c r="F46" s="9" t="s">
        <v>18</v>
      </c>
      <c r="G46" s="7"/>
      <c r="I46" s="10">
        <f t="shared" si="5"/>
        <v>3</v>
      </c>
      <c r="J46" s="10">
        <f t="shared" si="6"/>
        <v>0</v>
      </c>
      <c r="K46" s="10">
        <f t="shared" si="7"/>
        <v>0</v>
      </c>
      <c r="L46" s="10">
        <f t="shared" si="8"/>
        <v>0</v>
      </c>
      <c r="M46" s="10">
        <f t="shared" si="9"/>
        <v>0</v>
      </c>
      <c r="O46" t="s">
        <v>301</v>
      </c>
      <c r="Q46" t="s">
        <v>281</v>
      </c>
      <c r="R46" t="s">
        <v>281</v>
      </c>
    </row>
    <row r="47" spans="1:18" ht="23.25" customHeight="1" x14ac:dyDescent="0.2">
      <c r="A47" s="5" t="s">
        <v>140</v>
      </c>
      <c r="B47" s="6" t="s">
        <v>144</v>
      </c>
      <c r="C47" s="7" t="s">
        <v>145</v>
      </c>
      <c r="D47" s="7" t="s">
        <v>146</v>
      </c>
      <c r="E47" s="8" t="s">
        <v>17</v>
      </c>
      <c r="F47" s="9" t="s">
        <v>18</v>
      </c>
      <c r="G47" s="7"/>
      <c r="I47" s="10">
        <f t="shared" si="5"/>
        <v>3</v>
      </c>
      <c r="J47" s="10">
        <f t="shared" si="6"/>
        <v>0</v>
      </c>
      <c r="K47" s="10">
        <f t="shared" si="7"/>
        <v>0</v>
      </c>
      <c r="L47" s="10">
        <f t="shared" si="8"/>
        <v>0</v>
      </c>
      <c r="M47" s="10">
        <f t="shared" si="9"/>
        <v>0</v>
      </c>
      <c r="O47" t="s">
        <v>281</v>
      </c>
    </row>
    <row r="48" spans="1:18" ht="23.25" customHeight="1" x14ac:dyDescent="0.2">
      <c r="A48" s="5" t="s">
        <v>140</v>
      </c>
      <c r="B48" s="6" t="s">
        <v>147</v>
      </c>
      <c r="C48" s="7" t="s">
        <v>148</v>
      </c>
      <c r="D48" s="7" t="s">
        <v>149</v>
      </c>
      <c r="E48" s="8" t="s">
        <v>17</v>
      </c>
      <c r="F48" s="9" t="s">
        <v>18</v>
      </c>
      <c r="G48" s="7"/>
      <c r="I48" s="10">
        <f t="shared" si="5"/>
        <v>3</v>
      </c>
      <c r="J48" s="10">
        <f t="shared" si="6"/>
        <v>0</v>
      </c>
      <c r="K48" s="10">
        <f t="shared" si="7"/>
        <v>0</v>
      </c>
      <c r="L48" s="10">
        <f t="shared" si="8"/>
        <v>0</v>
      </c>
      <c r="M48" s="10">
        <f t="shared" si="9"/>
        <v>0</v>
      </c>
      <c r="O48" t="s">
        <v>281</v>
      </c>
    </row>
    <row r="49" spans="1:21" ht="23.25" customHeight="1" x14ac:dyDescent="0.2">
      <c r="A49" s="5" t="s">
        <v>140</v>
      </c>
      <c r="B49" s="6" t="s">
        <v>150</v>
      </c>
      <c r="C49" s="7" t="s">
        <v>151</v>
      </c>
      <c r="D49" s="7" t="s">
        <v>152</v>
      </c>
      <c r="E49" s="11" t="s">
        <v>37</v>
      </c>
      <c r="F49" s="9" t="s">
        <v>18</v>
      </c>
      <c r="G49" s="7"/>
      <c r="I49" s="10">
        <f t="shared" si="5"/>
        <v>2</v>
      </c>
      <c r="J49" s="10">
        <f t="shared" si="6"/>
        <v>0</v>
      </c>
      <c r="K49" s="10">
        <f t="shared" si="7"/>
        <v>0</v>
      </c>
      <c r="L49" s="10">
        <f t="shared" si="8"/>
        <v>0</v>
      </c>
      <c r="M49" s="10">
        <f t="shared" si="9"/>
        <v>0</v>
      </c>
    </row>
    <row r="50" spans="1:21" ht="23.25" customHeight="1" x14ac:dyDescent="0.2">
      <c r="A50" s="5" t="s">
        <v>140</v>
      </c>
      <c r="B50" s="6" t="s">
        <v>153</v>
      </c>
      <c r="C50" s="7" t="s">
        <v>154</v>
      </c>
      <c r="D50" s="7" t="s">
        <v>155</v>
      </c>
      <c r="E50" s="11" t="s">
        <v>37</v>
      </c>
      <c r="F50" s="9" t="s">
        <v>18</v>
      </c>
      <c r="G50" s="7"/>
      <c r="H50" s="26" t="s">
        <v>281</v>
      </c>
      <c r="I50" s="10">
        <f t="shared" si="5"/>
        <v>2</v>
      </c>
      <c r="J50" s="10">
        <f t="shared" si="6"/>
        <v>0</v>
      </c>
      <c r="K50" s="10">
        <f t="shared" si="7"/>
        <v>0</v>
      </c>
      <c r="L50" s="10">
        <f t="shared" si="8"/>
        <v>0</v>
      </c>
      <c r="M50" s="10">
        <f t="shared" si="9"/>
        <v>0</v>
      </c>
    </row>
    <row r="51" spans="1:21" ht="23.25" customHeight="1" x14ac:dyDescent="0.2">
      <c r="A51" s="5" t="s">
        <v>140</v>
      </c>
      <c r="B51" s="6" t="s">
        <v>156</v>
      </c>
      <c r="C51" s="7" t="s">
        <v>157</v>
      </c>
      <c r="D51" s="7" t="s">
        <v>158</v>
      </c>
      <c r="E51" s="8" t="s">
        <v>17</v>
      </c>
      <c r="F51" s="9" t="s">
        <v>18</v>
      </c>
      <c r="G51" s="7"/>
      <c r="I51" s="10">
        <f t="shared" si="5"/>
        <v>3</v>
      </c>
      <c r="J51" s="10">
        <f t="shared" si="6"/>
        <v>0</v>
      </c>
      <c r="K51" s="10">
        <f t="shared" si="7"/>
        <v>0</v>
      </c>
      <c r="L51" s="10">
        <f t="shared" si="8"/>
        <v>0</v>
      </c>
      <c r="M51" s="10">
        <f t="shared" si="9"/>
        <v>0</v>
      </c>
      <c r="O51" t="s">
        <v>281</v>
      </c>
    </row>
    <row r="52" spans="1:21" ht="23.25" customHeight="1" x14ac:dyDescent="0.2">
      <c r="A52" s="5" t="s">
        <v>140</v>
      </c>
      <c r="B52" s="6" t="s">
        <v>159</v>
      </c>
      <c r="C52" s="27" t="s">
        <v>302</v>
      </c>
      <c r="D52" s="7" t="s">
        <v>160</v>
      </c>
      <c r="E52" s="8" t="s">
        <v>17</v>
      </c>
      <c r="F52" s="9" t="s">
        <v>18</v>
      </c>
      <c r="G52" s="7"/>
      <c r="I52" s="10">
        <f t="shared" si="5"/>
        <v>3</v>
      </c>
      <c r="J52" s="10">
        <f t="shared" si="6"/>
        <v>0</v>
      </c>
      <c r="K52" s="10">
        <f t="shared" si="7"/>
        <v>0</v>
      </c>
      <c r="L52" s="10">
        <f t="shared" si="8"/>
        <v>0</v>
      </c>
      <c r="M52" s="10">
        <f t="shared" si="9"/>
        <v>0</v>
      </c>
      <c r="O52" t="s">
        <v>281</v>
      </c>
    </row>
    <row r="53" spans="1:21" ht="23.25" customHeight="1" x14ac:dyDescent="0.2">
      <c r="A53" s="5" t="s">
        <v>140</v>
      </c>
      <c r="B53" s="6" t="s">
        <v>161</v>
      </c>
      <c r="C53" s="7" t="s">
        <v>162</v>
      </c>
      <c r="D53" s="7" t="s">
        <v>163</v>
      </c>
      <c r="E53" s="11" t="s">
        <v>37</v>
      </c>
      <c r="F53" s="9" t="s">
        <v>18</v>
      </c>
      <c r="G53" s="7"/>
      <c r="I53" s="10">
        <f t="shared" si="5"/>
        <v>2</v>
      </c>
      <c r="J53" s="10">
        <f t="shared" si="6"/>
        <v>0</v>
      </c>
      <c r="K53" s="10">
        <f t="shared" si="7"/>
        <v>0</v>
      </c>
      <c r="L53" s="10">
        <f t="shared" si="8"/>
        <v>0</v>
      </c>
      <c r="M53" s="10">
        <f t="shared" si="9"/>
        <v>0</v>
      </c>
      <c r="O53" t="s">
        <v>281</v>
      </c>
    </row>
    <row r="54" spans="1:21" ht="15" customHeight="1" x14ac:dyDescent="0.2">
      <c r="A54" s="5" t="s">
        <v>140</v>
      </c>
      <c r="B54" s="6" t="s">
        <v>164</v>
      </c>
      <c r="C54" s="7" t="s">
        <v>165</v>
      </c>
      <c r="D54" s="7" t="s">
        <v>166</v>
      </c>
      <c r="E54" s="11" t="s">
        <v>37</v>
      </c>
      <c r="F54" s="9" t="s">
        <v>18</v>
      </c>
      <c r="G54" s="7"/>
      <c r="I54" s="10">
        <f t="shared" si="5"/>
        <v>2</v>
      </c>
      <c r="J54" s="10">
        <f t="shared" si="6"/>
        <v>0</v>
      </c>
      <c r="K54" s="10">
        <f t="shared" si="7"/>
        <v>0</v>
      </c>
      <c r="L54" s="10">
        <f t="shared" si="8"/>
        <v>0</v>
      </c>
      <c r="M54" s="10">
        <f t="shared" si="9"/>
        <v>0</v>
      </c>
      <c r="O54" t="s">
        <v>281</v>
      </c>
    </row>
    <row r="55" spans="1:21" ht="23.25" customHeight="1" x14ac:dyDescent="0.2">
      <c r="A55" s="5" t="s">
        <v>140</v>
      </c>
      <c r="B55" s="6" t="s">
        <v>167</v>
      </c>
      <c r="C55" s="7" t="s">
        <v>168</v>
      </c>
      <c r="D55" s="7" t="s">
        <v>169</v>
      </c>
      <c r="E55" s="8" t="s">
        <v>17</v>
      </c>
      <c r="F55" s="9" t="s">
        <v>18</v>
      </c>
      <c r="G55" s="7"/>
      <c r="I55" s="10">
        <f t="shared" si="5"/>
        <v>3</v>
      </c>
      <c r="J55" s="10">
        <f t="shared" si="6"/>
        <v>0</v>
      </c>
      <c r="K55" s="10">
        <f t="shared" si="7"/>
        <v>0</v>
      </c>
      <c r="L55" s="10">
        <f t="shared" si="8"/>
        <v>0</v>
      </c>
      <c r="M55" s="10">
        <f t="shared" si="9"/>
        <v>0</v>
      </c>
      <c r="O55" t="s">
        <v>281</v>
      </c>
    </row>
    <row r="56" spans="1:21" ht="23.25" customHeight="1" x14ac:dyDescent="0.2">
      <c r="A56" s="5" t="s">
        <v>140</v>
      </c>
      <c r="B56" s="6" t="s">
        <v>170</v>
      </c>
      <c r="C56" s="7"/>
      <c r="D56" s="7" t="s">
        <v>171</v>
      </c>
      <c r="E56" s="8" t="s">
        <v>17</v>
      </c>
      <c r="F56" s="9" t="s">
        <v>18</v>
      </c>
      <c r="G56" s="7"/>
      <c r="I56" s="10">
        <f t="shared" si="5"/>
        <v>3</v>
      </c>
      <c r="J56" s="10">
        <f t="shared" si="6"/>
        <v>0</v>
      </c>
      <c r="K56" s="10">
        <f t="shared" si="7"/>
        <v>0</v>
      </c>
      <c r="L56" s="10">
        <f t="shared" si="8"/>
        <v>0</v>
      </c>
      <c r="M56" s="10">
        <f t="shared" si="9"/>
        <v>0</v>
      </c>
    </row>
    <row r="57" spans="1:21" ht="23.25" customHeight="1" x14ac:dyDescent="0.2">
      <c r="A57" s="5" t="s">
        <v>140</v>
      </c>
      <c r="B57" s="6" t="s">
        <v>172</v>
      </c>
      <c r="C57" s="7" t="s">
        <v>173</v>
      </c>
      <c r="D57" s="27" t="s">
        <v>303</v>
      </c>
      <c r="E57" s="12" t="s">
        <v>53</v>
      </c>
      <c r="F57" s="9" t="s">
        <v>18</v>
      </c>
      <c r="G57" s="7"/>
      <c r="I57" s="10">
        <f t="shared" si="5"/>
        <v>1</v>
      </c>
      <c r="J57" s="10">
        <f t="shared" si="6"/>
        <v>0</v>
      </c>
      <c r="K57" s="10">
        <f t="shared" si="7"/>
        <v>0</v>
      </c>
      <c r="L57" s="10">
        <f t="shared" si="8"/>
        <v>0</v>
      </c>
      <c r="M57" s="10">
        <f t="shared" si="9"/>
        <v>0</v>
      </c>
      <c r="O57" t="s">
        <v>281</v>
      </c>
    </row>
    <row r="58" spans="1:21" ht="23.25" customHeight="1" x14ac:dyDescent="0.2">
      <c r="A58" s="5" t="s">
        <v>174</v>
      </c>
      <c r="B58" s="6" t="s">
        <v>175</v>
      </c>
      <c r="C58" s="7" t="s">
        <v>176</v>
      </c>
      <c r="D58" s="7" t="s">
        <v>177</v>
      </c>
      <c r="E58" s="8" t="s">
        <v>17</v>
      </c>
      <c r="F58" s="9" t="s">
        <v>18</v>
      </c>
      <c r="G58" s="27" t="s">
        <v>281</v>
      </c>
      <c r="H58" t="s">
        <v>281</v>
      </c>
      <c r="I58" s="10">
        <f t="shared" si="5"/>
        <v>3</v>
      </c>
      <c r="J58" s="10">
        <f t="shared" si="6"/>
        <v>0</v>
      </c>
      <c r="K58" s="10">
        <f t="shared" si="7"/>
        <v>0</v>
      </c>
      <c r="L58" s="10">
        <f t="shared" si="8"/>
        <v>0</v>
      </c>
      <c r="M58" s="10">
        <f t="shared" si="9"/>
        <v>0</v>
      </c>
      <c r="N58" t="s">
        <v>281</v>
      </c>
    </row>
    <row r="59" spans="1:21" ht="15" customHeight="1" x14ac:dyDescent="0.2">
      <c r="A59" s="5" t="s">
        <v>174</v>
      </c>
      <c r="B59" s="6" t="s">
        <v>178</v>
      </c>
      <c r="C59" s="7" t="s">
        <v>179</v>
      </c>
      <c r="D59" s="7" t="s">
        <v>180</v>
      </c>
      <c r="E59" s="8" t="s">
        <v>17</v>
      </c>
      <c r="F59" s="9" t="s">
        <v>18</v>
      </c>
      <c r="G59" s="7"/>
      <c r="I59" s="10">
        <f t="shared" si="5"/>
        <v>3</v>
      </c>
      <c r="J59" s="10">
        <f t="shared" si="6"/>
        <v>0</v>
      </c>
      <c r="K59" s="10">
        <f t="shared" si="7"/>
        <v>0</v>
      </c>
      <c r="L59" s="10">
        <f t="shared" si="8"/>
        <v>0</v>
      </c>
      <c r="M59" s="10">
        <f t="shared" si="9"/>
        <v>0</v>
      </c>
      <c r="O59" t="s">
        <v>281</v>
      </c>
    </row>
    <row r="60" spans="1:21" ht="23.25" customHeight="1" x14ac:dyDescent="0.2">
      <c r="A60" s="5" t="s">
        <v>174</v>
      </c>
      <c r="B60" s="6" t="s">
        <v>181</v>
      </c>
      <c r="C60" s="7" t="s">
        <v>182</v>
      </c>
      <c r="D60" s="7" t="s">
        <v>183</v>
      </c>
      <c r="E60" s="8" t="s">
        <v>17</v>
      </c>
      <c r="F60" s="9" t="s">
        <v>18</v>
      </c>
      <c r="G60" s="7"/>
      <c r="I60" s="10">
        <f t="shared" si="5"/>
        <v>3</v>
      </c>
      <c r="J60" s="10">
        <f t="shared" si="6"/>
        <v>0</v>
      </c>
      <c r="K60" s="10">
        <f t="shared" si="7"/>
        <v>0</v>
      </c>
      <c r="L60" s="10">
        <f t="shared" si="8"/>
        <v>0</v>
      </c>
      <c r="M60" s="10">
        <f t="shared" si="9"/>
        <v>0</v>
      </c>
      <c r="O60" t="s">
        <v>281</v>
      </c>
    </row>
    <row r="61" spans="1:21" ht="23.25" customHeight="1" x14ac:dyDescent="0.2">
      <c r="A61" s="5" t="s">
        <v>174</v>
      </c>
      <c r="B61" s="6" t="s">
        <v>184</v>
      </c>
      <c r="C61" s="7" t="s">
        <v>185</v>
      </c>
      <c r="D61" s="7" t="s">
        <v>186</v>
      </c>
      <c r="E61" s="8" t="s">
        <v>17</v>
      </c>
      <c r="F61" s="9" t="s">
        <v>18</v>
      </c>
      <c r="G61" s="7"/>
      <c r="I61" s="10">
        <f t="shared" si="5"/>
        <v>3</v>
      </c>
      <c r="J61" s="10">
        <f t="shared" si="6"/>
        <v>0</v>
      </c>
      <c r="K61" s="10">
        <f t="shared" si="7"/>
        <v>0</v>
      </c>
      <c r="L61" s="10">
        <f t="shared" si="8"/>
        <v>0</v>
      </c>
      <c r="M61" s="10">
        <f t="shared" si="9"/>
        <v>0</v>
      </c>
      <c r="O61" t="s">
        <v>281</v>
      </c>
      <c r="U61" t="s">
        <v>309</v>
      </c>
    </row>
    <row r="62" spans="1:21" ht="23.25" customHeight="1" x14ac:dyDescent="0.2">
      <c r="A62" s="5" t="s">
        <v>174</v>
      </c>
      <c r="B62" s="6" t="s">
        <v>187</v>
      </c>
      <c r="C62" s="7" t="s">
        <v>188</v>
      </c>
      <c r="D62" s="7" t="s">
        <v>189</v>
      </c>
      <c r="E62" s="8" t="s">
        <v>17</v>
      </c>
      <c r="F62" s="9" t="s">
        <v>18</v>
      </c>
      <c r="G62" s="27" t="s">
        <v>281</v>
      </c>
      <c r="I62" s="10">
        <f t="shared" si="5"/>
        <v>3</v>
      </c>
      <c r="J62" s="10">
        <f t="shared" si="6"/>
        <v>0</v>
      </c>
      <c r="K62" s="10">
        <f t="shared" si="7"/>
        <v>0</v>
      </c>
      <c r="L62" s="10">
        <f t="shared" si="8"/>
        <v>0</v>
      </c>
      <c r="M62" s="10">
        <f t="shared" si="9"/>
        <v>0</v>
      </c>
      <c r="U62" t="s">
        <v>310</v>
      </c>
    </row>
    <row r="63" spans="1:21" ht="23.25" customHeight="1" x14ac:dyDescent="0.2">
      <c r="A63" s="5" t="s">
        <v>174</v>
      </c>
      <c r="B63" s="6" t="s">
        <v>190</v>
      </c>
      <c r="C63" s="7" t="s">
        <v>191</v>
      </c>
      <c r="D63" s="7" t="s">
        <v>192</v>
      </c>
      <c r="E63" s="11" t="s">
        <v>37</v>
      </c>
      <c r="F63" s="9" t="s">
        <v>18</v>
      </c>
      <c r="G63" s="7"/>
      <c r="I63" s="10">
        <f t="shared" si="5"/>
        <v>2</v>
      </c>
      <c r="J63" s="10">
        <f t="shared" si="6"/>
        <v>0</v>
      </c>
      <c r="K63" s="10">
        <f t="shared" si="7"/>
        <v>0</v>
      </c>
      <c r="L63" s="10">
        <f t="shared" si="8"/>
        <v>0</v>
      </c>
      <c r="M63" s="10">
        <f t="shared" si="9"/>
        <v>0</v>
      </c>
    </row>
    <row r="64" spans="1:21" ht="23.25" customHeight="1" x14ac:dyDescent="0.2">
      <c r="A64" s="5" t="s">
        <v>174</v>
      </c>
      <c r="B64" s="6" t="s">
        <v>193</v>
      </c>
      <c r="C64" s="7" t="s">
        <v>194</v>
      </c>
      <c r="D64" s="7" t="s">
        <v>195</v>
      </c>
      <c r="E64" s="11" t="s">
        <v>37</v>
      </c>
      <c r="F64" s="9" t="s">
        <v>18</v>
      </c>
      <c r="G64" s="27" t="s">
        <v>281</v>
      </c>
      <c r="I64" s="10">
        <f t="shared" si="5"/>
        <v>2</v>
      </c>
      <c r="J64" s="10">
        <f t="shared" si="6"/>
        <v>0</v>
      </c>
      <c r="K64" s="10">
        <f t="shared" si="7"/>
        <v>0</v>
      </c>
      <c r="L64" s="10">
        <f t="shared" si="8"/>
        <v>0</v>
      </c>
      <c r="M64" s="10">
        <f t="shared" si="9"/>
        <v>0</v>
      </c>
    </row>
    <row r="65" spans="1:21" ht="15" customHeight="1" x14ac:dyDescent="0.2">
      <c r="A65" s="5" t="s">
        <v>174</v>
      </c>
      <c r="B65" s="6" t="s">
        <v>196</v>
      </c>
      <c r="C65" s="7" t="s">
        <v>197</v>
      </c>
      <c r="D65" s="7" t="s">
        <v>198</v>
      </c>
      <c r="E65" s="8" t="s">
        <v>17</v>
      </c>
      <c r="F65" s="9" t="s">
        <v>18</v>
      </c>
      <c r="G65" s="27" t="s">
        <v>281</v>
      </c>
      <c r="I65" s="10">
        <f t="shared" si="5"/>
        <v>3</v>
      </c>
      <c r="J65" s="10">
        <f t="shared" si="6"/>
        <v>0</v>
      </c>
      <c r="K65" s="10">
        <f t="shared" si="7"/>
        <v>0</v>
      </c>
      <c r="L65" s="10">
        <f t="shared" si="8"/>
        <v>0</v>
      </c>
      <c r="M65" s="10">
        <f t="shared" si="9"/>
        <v>0</v>
      </c>
    </row>
    <row r="66" spans="1:21" ht="23.25" customHeight="1" x14ac:dyDescent="0.2">
      <c r="A66" s="5" t="s">
        <v>174</v>
      </c>
      <c r="B66" s="6" t="s">
        <v>199</v>
      </c>
      <c r="C66" s="7" t="s">
        <v>200</v>
      </c>
      <c r="D66" s="7" t="s">
        <v>201</v>
      </c>
      <c r="E66" s="8" t="s">
        <v>17</v>
      </c>
      <c r="F66" s="9" t="s">
        <v>18</v>
      </c>
      <c r="G66" s="7"/>
      <c r="I66" s="10">
        <f t="shared" si="5"/>
        <v>3</v>
      </c>
      <c r="J66" s="10">
        <f t="shared" si="6"/>
        <v>0</v>
      </c>
      <c r="K66" s="10">
        <f t="shared" si="7"/>
        <v>0</v>
      </c>
      <c r="L66" s="10">
        <f t="shared" si="8"/>
        <v>0</v>
      </c>
      <c r="M66" s="10">
        <f t="shared" si="9"/>
        <v>0</v>
      </c>
      <c r="O66" t="s">
        <v>281</v>
      </c>
    </row>
    <row r="67" spans="1:21" ht="23.25" customHeight="1" x14ac:dyDescent="0.2">
      <c r="A67" s="5" t="s">
        <v>174</v>
      </c>
      <c r="B67" s="6" t="s">
        <v>202</v>
      </c>
      <c r="C67" s="7" t="s">
        <v>203</v>
      </c>
      <c r="D67" s="7" t="s">
        <v>204</v>
      </c>
      <c r="E67" s="11" t="s">
        <v>37</v>
      </c>
      <c r="F67" s="9" t="s">
        <v>18</v>
      </c>
      <c r="G67" s="7"/>
      <c r="I67" s="10">
        <f t="shared" si="5"/>
        <v>2</v>
      </c>
      <c r="J67" s="10">
        <f t="shared" si="6"/>
        <v>0</v>
      </c>
      <c r="K67" s="10">
        <f t="shared" si="7"/>
        <v>0</v>
      </c>
      <c r="L67" s="10">
        <f t="shared" si="8"/>
        <v>0</v>
      </c>
      <c r="M67" s="10">
        <f t="shared" si="9"/>
        <v>0</v>
      </c>
      <c r="S67" t="s">
        <v>281</v>
      </c>
    </row>
    <row r="68" spans="1:21" ht="15" customHeight="1" x14ac:dyDescent="0.2">
      <c r="A68" s="5" t="s">
        <v>174</v>
      </c>
      <c r="B68" s="6" t="s">
        <v>205</v>
      </c>
      <c r="C68" s="7" t="s">
        <v>206</v>
      </c>
      <c r="D68" s="7" t="s">
        <v>207</v>
      </c>
      <c r="E68" s="11" t="s">
        <v>37</v>
      </c>
      <c r="F68" s="9" t="s">
        <v>18</v>
      </c>
      <c r="G68" s="7"/>
      <c r="I68" s="10">
        <f t="shared" si="5"/>
        <v>2</v>
      </c>
      <c r="J68" s="10">
        <f t="shared" si="6"/>
        <v>0</v>
      </c>
      <c r="K68" s="10">
        <f t="shared" si="7"/>
        <v>0</v>
      </c>
      <c r="L68" s="10">
        <f t="shared" si="8"/>
        <v>0</v>
      </c>
      <c r="M68" s="10">
        <f t="shared" si="9"/>
        <v>0</v>
      </c>
      <c r="T68" t="s">
        <v>281</v>
      </c>
      <c r="U68" t="s">
        <v>312</v>
      </c>
    </row>
    <row r="69" spans="1:21" ht="23.25" customHeight="1" x14ac:dyDescent="0.2">
      <c r="A69" s="5" t="s">
        <v>174</v>
      </c>
      <c r="B69" s="6" t="s">
        <v>208</v>
      </c>
      <c r="C69" s="7" t="s">
        <v>209</v>
      </c>
      <c r="D69" s="7" t="s">
        <v>210</v>
      </c>
      <c r="E69" s="11" t="s">
        <v>37</v>
      </c>
      <c r="F69" s="9" t="s">
        <v>18</v>
      </c>
      <c r="G69" s="7"/>
      <c r="I69" s="10">
        <f t="shared" si="5"/>
        <v>2</v>
      </c>
      <c r="J69" s="10">
        <f t="shared" si="6"/>
        <v>0</v>
      </c>
      <c r="K69" s="10">
        <f t="shared" si="7"/>
        <v>0</v>
      </c>
      <c r="L69" s="10">
        <f t="shared" si="8"/>
        <v>0</v>
      </c>
      <c r="M69" s="10">
        <f t="shared" si="9"/>
        <v>0</v>
      </c>
      <c r="O69" t="s">
        <v>281</v>
      </c>
      <c r="U69" t="s">
        <v>313</v>
      </c>
    </row>
    <row r="70" spans="1:21" ht="23.25" customHeight="1" x14ac:dyDescent="0.2">
      <c r="A70" s="5" t="s">
        <v>174</v>
      </c>
      <c r="B70" s="6" t="s">
        <v>211</v>
      </c>
      <c r="C70" s="7"/>
      <c r="D70" s="7" t="s">
        <v>212</v>
      </c>
      <c r="E70" s="12" t="s">
        <v>53</v>
      </c>
      <c r="F70" s="9" t="s">
        <v>18</v>
      </c>
      <c r="G70" s="7"/>
      <c r="I70" s="10">
        <f t="shared" ref="I70:I84" si="10">IF(E70="MUSS",3,IF(E70="SOLL",2,1))</f>
        <v>1</v>
      </c>
      <c r="J70" s="10">
        <f t="shared" ref="J70:J84" si="11">IF(OR(F70="Erfüllt",F70="Teilweise",F70="Lücke"),1,0)</f>
        <v>0</v>
      </c>
      <c r="K70" s="10">
        <f t="shared" ref="K70:K84" si="12">IF(F70="Erfüllt",1,IF(F70="Teilweise",0.5,0))</f>
        <v>0</v>
      </c>
      <c r="L70" s="10">
        <f t="shared" ref="L70:L101" si="13">I70*J70*K70</f>
        <v>0</v>
      </c>
      <c r="M70" s="10">
        <f t="shared" ref="M70:M84" si="14">I70*J70</f>
        <v>0</v>
      </c>
    </row>
    <row r="71" spans="1:21" ht="23.25" customHeight="1" x14ac:dyDescent="0.2">
      <c r="A71" s="5" t="s">
        <v>213</v>
      </c>
      <c r="B71" s="6" t="s">
        <v>214</v>
      </c>
      <c r="C71" s="7" t="s">
        <v>215</v>
      </c>
      <c r="D71" s="7" t="s">
        <v>216</v>
      </c>
      <c r="E71" s="8" t="s">
        <v>17</v>
      </c>
      <c r="F71" s="9" t="s">
        <v>18</v>
      </c>
      <c r="G71" s="27" t="s">
        <v>281</v>
      </c>
      <c r="I71" s="10">
        <f t="shared" si="10"/>
        <v>3</v>
      </c>
      <c r="J71" s="10">
        <f t="shared" si="11"/>
        <v>0</v>
      </c>
      <c r="K71" s="10">
        <f t="shared" si="12"/>
        <v>0</v>
      </c>
      <c r="L71" s="10">
        <f t="shared" si="13"/>
        <v>0</v>
      </c>
      <c r="M71" s="10">
        <f t="shared" si="14"/>
        <v>0</v>
      </c>
    </row>
    <row r="72" spans="1:21" ht="23.25" customHeight="1" x14ac:dyDescent="0.2">
      <c r="A72" s="5" t="s">
        <v>213</v>
      </c>
      <c r="B72" s="6" t="s">
        <v>217</v>
      </c>
      <c r="C72" s="7" t="s">
        <v>218</v>
      </c>
      <c r="D72" s="7" t="s">
        <v>219</v>
      </c>
      <c r="E72" s="8" t="s">
        <v>17</v>
      </c>
      <c r="F72" s="9" t="s">
        <v>18</v>
      </c>
      <c r="G72" s="27" t="s">
        <v>281</v>
      </c>
      <c r="I72" s="10">
        <f t="shared" si="10"/>
        <v>3</v>
      </c>
      <c r="J72" s="10">
        <f t="shared" si="11"/>
        <v>0</v>
      </c>
      <c r="K72" s="10">
        <f t="shared" si="12"/>
        <v>0</v>
      </c>
      <c r="L72" s="10">
        <f t="shared" si="13"/>
        <v>0</v>
      </c>
      <c r="M72" s="10">
        <f t="shared" si="14"/>
        <v>0</v>
      </c>
    </row>
    <row r="73" spans="1:21" ht="23.25" customHeight="1" x14ac:dyDescent="0.2">
      <c r="A73" s="5" t="s">
        <v>213</v>
      </c>
      <c r="B73" s="6" t="s">
        <v>220</v>
      </c>
      <c r="C73" s="7" t="s">
        <v>221</v>
      </c>
      <c r="D73" s="7" t="s">
        <v>222</v>
      </c>
      <c r="E73" s="8" t="s">
        <v>17</v>
      </c>
      <c r="F73" s="9" t="s">
        <v>18</v>
      </c>
      <c r="G73" s="27" t="s">
        <v>281</v>
      </c>
      <c r="I73" s="10">
        <f t="shared" si="10"/>
        <v>3</v>
      </c>
      <c r="J73" s="10">
        <f t="shared" si="11"/>
        <v>0</v>
      </c>
      <c r="K73" s="10">
        <f t="shared" si="12"/>
        <v>0</v>
      </c>
      <c r="L73" s="10">
        <f t="shared" si="13"/>
        <v>0</v>
      </c>
      <c r="M73" s="10">
        <f t="shared" si="14"/>
        <v>0</v>
      </c>
    </row>
    <row r="74" spans="1:21" ht="23.25" customHeight="1" x14ac:dyDescent="0.2">
      <c r="A74" s="5" t="s">
        <v>213</v>
      </c>
      <c r="B74" s="6" t="s">
        <v>223</v>
      </c>
      <c r="C74" s="7" t="s">
        <v>224</v>
      </c>
      <c r="D74" s="27" t="s">
        <v>305</v>
      </c>
      <c r="E74" s="11" t="s">
        <v>37</v>
      </c>
      <c r="F74" s="9" t="s">
        <v>18</v>
      </c>
      <c r="G74" s="7"/>
      <c r="I74" s="10">
        <f t="shared" si="10"/>
        <v>2</v>
      </c>
      <c r="J74" s="10">
        <f t="shared" si="11"/>
        <v>0</v>
      </c>
      <c r="K74" s="10">
        <f t="shared" si="12"/>
        <v>0</v>
      </c>
      <c r="L74" s="10">
        <f t="shared" si="13"/>
        <v>0</v>
      </c>
      <c r="M74" s="10">
        <f t="shared" si="14"/>
        <v>0</v>
      </c>
      <c r="O74" t="s">
        <v>307</v>
      </c>
      <c r="T74" t="s">
        <v>306</v>
      </c>
    </row>
    <row r="75" spans="1:21" ht="23.25" customHeight="1" x14ac:dyDescent="0.2">
      <c r="A75" s="5" t="s">
        <v>213</v>
      </c>
      <c r="B75" s="6" t="s">
        <v>225</v>
      </c>
      <c r="C75" s="7" t="s">
        <v>226</v>
      </c>
      <c r="D75" s="7" t="s">
        <v>227</v>
      </c>
      <c r="E75" s="8" t="s">
        <v>17</v>
      </c>
      <c r="F75" s="9" t="s">
        <v>18</v>
      </c>
      <c r="G75" s="27" t="s">
        <v>281</v>
      </c>
      <c r="I75" s="10">
        <f t="shared" si="10"/>
        <v>3</v>
      </c>
      <c r="J75" s="10">
        <f t="shared" si="11"/>
        <v>0</v>
      </c>
      <c r="K75" s="10">
        <f t="shared" si="12"/>
        <v>0</v>
      </c>
      <c r="L75" s="10">
        <f t="shared" si="13"/>
        <v>0</v>
      </c>
      <c r="M75" s="10">
        <f t="shared" si="14"/>
        <v>0</v>
      </c>
    </row>
    <row r="76" spans="1:21" ht="23.25" customHeight="1" x14ac:dyDescent="0.2">
      <c r="A76" s="5" t="s">
        <v>213</v>
      </c>
      <c r="B76" s="6" t="s">
        <v>228</v>
      </c>
      <c r="C76" s="7" t="s">
        <v>229</v>
      </c>
      <c r="D76" s="7" t="s">
        <v>230</v>
      </c>
      <c r="E76" s="8" t="s">
        <v>17</v>
      </c>
      <c r="F76" s="9" t="s">
        <v>18</v>
      </c>
      <c r="G76" s="7"/>
      <c r="I76" s="10">
        <f t="shared" si="10"/>
        <v>3</v>
      </c>
      <c r="J76" s="10">
        <f t="shared" si="11"/>
        <v>0</v>
      </c>
      <c r="K76" s="10">
        <f t="shared" si="12"/>
        <v>0</v>
      </c>
      <c r="L76" s="10">
        <f t="shared" si="13"/>
        <v>0</v>
      </c>
      <c r="M76" s="10">
        <f t="shared" si="14"/>
        <v>0</v>
      </c>
      <c r="O76" t="s">
        <v>308</v>
      </c>
    </row>
    <row r="77" spans="1:21" ht="15" customHeight="1" x14ac:dyDescent="0.2">
      <c r="A77" s="5" t="s">
        <v>213</v>
      </c>
      <c r="B77" s="6" t="s">
        <v>231</v>
      </c>
      <c r="C77" s="7" t="s">
        <v>232</v>
      </c>
      <c r="D77" s="7" t="s">
        <v>233</v>
      </c>
      <c r="E77" s="8" t="s">
        <v>17</v>
      </c>
      <c r="F77" s="9" t="s">
        <v>18</v>
      </c>
      <c r="G77" s="7"/>
      <c r="I77" s="10">
        <f t="shared" si="10"/>
        <v>3</v>
      </c>
      <c r="J77" s="10">
        <f t="shared" si="11"/>
        <v>0</v>
      </c>
      <c r="K77" s="10">
        <f t="shared" si="12"/>
        <v>0</v>
      </c>
      <c r="L77" s="10">
        <f t="shared" si="13"/>
        <v>0</v>
      </c>
      <c r="M77" s="10">
        <f t="shared" si="14"/>
        <v>0</v>
      </c>
    </row>
    <row r="78" spans="1:21" ht="23.25" customHeight="1" x14ac:dyDescent="0.2">
      <c r="A78" s="5" t="s">
        <v>213</v>
      </c>
      <c r="B78" s="6" t="s">
        <v>234</v>
      </c>
      <c r="C78" s="7" t="s">
        <v>235</v>
      </c>
      <c r="D78" s="7" t="s">
        <v>236</v>
      </c>
      <c r="E78" s="8" t="s">
        <v>17</v>
      </c>
      <c r="F78" s="9" t="s">
        <v>18</v>
      </c>
      <c r="G78" s="7"/>
      <c r="I78" s="10">
        <f t="shared" si="10"/>
        <v>3</v>
      </c>
      <c r="J78" s="10">
        <f t="shared" si="11"/>
        <v>0</v>
      </c>
      <c r="K78" s="10">
        <f t="shared" si="12"/>
        <v>0</v>
      </c>
      <c r="L78" s="10">
        <f t="shared" si="13"/>
        <v>0</v>
      </c>
      <c r="M78" s="10">
        <f t="shared" si="14"/>
        <v>0</v>
      </c>
    </row>
    <row r="79" spans="1:21" ht="23.25" customHeight="1" x14ac:dyDescent="0.2">
      <c r="A79" s="5" t="s">
        <v>213</v>
      </c>
      <c r="B79" s="6" t="s">
        <v>237</v>
      </c>
      <c r="C79" s="7" t="s">
        <v>238</v>
      </c>
      <c r="D79" s="7" t="s">
        <v>239</v>
      </c>
      <c r="E79" s="11" t="s">
        <v>37</v>
      </c>
      <c r="F79" s="9" t="s">
        <v>18</v>
      </c>
      <c r="G79" s="7"/>
      <c r="I79" s="10">
        <f t="shared" si="10"/>
        <v>2</v>
      </c>
      <c r="J79" s="10">
        <f t="shared" si="11"/>
        <v>0</v>
      </c>
      <c r="K79" s="10">
        <f t="shared" si="12"/>
        <v>0</v>
      </c>
      <c r="L79" s="10">
        <f t="shared" si="13"/>
        <v>0</v>
      </c>
      <c r="M79" s="10">
        <f t="shared" si="14"/>
        <v>0</v>
      </c>
    </row>
    <row r="80" spans="1:21" ht="23.25" customHeight="1" x14ac:dyDescent="0.2">
      <c r="A80" s="5" t="s">
        <v>213</v>
      </c>
      <c r="B80" s="6" t="s">
        <v>240</v>
      </c>
      <c r="C80" s="7" t="s">
        <v>241</v>
      </c>
      <c r="D80" s="7" t="s">
        <v>242</v>
      </c>
      <c r="E80" s="11" t="s">
        <v>37</v>
      </c>
      <c r="F80" s="9" t="s">
        <v>18</v>
      </c>
      <c r="G80" s="7"/>
      <c r="I80" s="10">
        <f t="shared" si="10"/>
        <v>2</v>
      </c>
      <c r="J80" s="10">
        <f t="shared" si="11"/>
        <v>0</v>
      </c>
      <c r="K80" s="10">
        <f t="shared" si="12"/>
        <v>0</v>
      </c>
      <c r="L80" s="10">
        <f t="shared" si="13"/>
        <v>0</v>
      </c>
      <c r="M80" s="10">
        <f t="shared" si="14"/>
        <v>0</v>
      </c>
    </row>
    <row r="81" spans="1:13" ht="23.25" customHeight="1" x14ac:dyDescent="0.2">
      <c r="A81" s="5" t="s">
        <v>213</v>
      </c>
      <c r="B81" s="6" t="s">
        <v>243</v>
      </c>
      <c r="C81" s="7" t="s">
        <v>244</v>
      </c>
      <c r="D81" s="7" t="s">
        <v>245</v>
      </c>
      <c r="E81" s="11" t="s">
        <v>37</v>
      </c>
      <c r="F81" s="9" t="s">
        <v>18</v>
      </c>
      <c r="G81" s="7"/>
      <c r="I81" s="10">
        <f t="shared" si="10"/>
        <v>2</v>
      </c>
      <c r="J81" s="10">
        <f t="shared" si="11"/>
        <v>0</v>
      </c>
      <c r="K81" s="10">
        <f t="shared" si="12"/>
        <v>0</v>
      </c>
      <c r="L81" s="10">
        <f t="shared" si="13"/>
        <v>0</v>
      </c>
      <c r="M81" s="10">
        <f t="shared" si="14"/>
        <v>0</v>
      </c>
    </row>
    <row r="82" spans="1:13" ht="23.25" customHeight="1" x14ac:dyDescent="0.2">
      <c r="A82" s="5" t="s">
        <v>213</v>
      </c>
      <c r="B82" s="6" t="s">
        <v>246</v>
      </c>
      <c r="C82" s="7" t="s">
        <v>247</v>
      </c>
      <c r="D82" s="7" t="s">
        <v>248</v>
      </c>
      <c r="E82" s="8" t="s">
        <v>17</v>
      </c>
      <c r="F82" s="9" t="s">
        <v>18</v>
      </c>
      <c r="G82" s="7"/>
      <c r="I82" s="10">
        <f t="shared" si="10"/>
        <v>3</v>
      </c>
      <c r="J82" s="10">
        <f t="shared" si="11"/>
        <v>0</v>
      </c>
      <c r="K82" s="10">
        <f t="shared" si="12"/>
        <v>0</v>
      </c>
      <c r="L82" s="10">
        <f t="shared" si="13"/>
        <v>0</v>
      </c>
      <c r="M82" s="10">
        <f t="shared" si="14"/>
        <v>0</v>
      </c>
    </row>
    <row r="83" spans="1:13" ht="23.25" customHeight="1" x14ac:dyDescent="0.2">
      <c r="A83" s="5" t="s">
        <v>213</v>
      </c>
      <c r="B83" s="6" t="s">
        <v>249</v>
      </c>
      <c r="C83" s="7" t="s">
        <v>250</v>
      </c>
      <c r="D83" s="7" t="s">
        <v>251</v>
      </c>
      <c r="E83" s="8" t="s">
        <v>17</v>
      </c>
      <c r="F83" s="9" t="s">
        <v>18</v>
      </c>
      <c r="G83" s="7"/>
      <c r="I83" s="10">
        <f t="shared" si="10"/>
        <v>3</v>
      </c>
      <c r="J83" s="10">
        <f t="shared" si="11"/>
        <v>0</v>
      </c>
      <c r="K83" s="10">
        <f t="shared" si="12"/>
        <v>0</v>
      </c>
      <c r="L83" s="10">
        <f t="shared" si="13"/>
        <v>0</v>
      </c>
      <c r="M83" s="10">
        <f t="shared" si="14"/>
        <v>0</v>
      </c>
    </row>
    <row r="84" spans="1:13" ht="23.25" customHeight="1" x14ac:dyDescent="0.2">
      <c r="A84" s="5" t="s">
        <v>213</v>
      </c>
      <c r="B84" s="6" t="s">
        <v>252</v>
      </c>
      <c r="C84" s="7" t="s">
        <v>253</v>
      </c>
      <c r="D84" s="7" t="s">
        <v>254</v>
      </c>
      <c r="E84" s="12" t="s">
        <v>53</v>
      </c>
      <c r="F84" s="9" t="s">
        <v>18</v>
      </c>
      <c r="G84" s="7"/>
      <c r="I84" s="10">
        <f t="shared" si="10"/>
        <v>1</v>
      </c>
      <c r="J84" s="10">
        <f t="shared" si="11"/>
        <v>0</v>
      </c>
      <c r="K84" s="10">
        <f t="shared" si="12"/>
        <v>0</v>
      </c>
      <c r="L84" s="10">
        <f t="shared" si="13"/>
        <v>0</v>
      </c>
      <c r="M84" s="10">
        <f t="shared" si="14"/>
        <v>0</v>
      </c>
    </row>
  </sheetData>
  <autoFilter ref="A4:G84" xr:uid="{00000000-0009-0000-0000-000000000000}"/>
  <mergeCells count="2">
    <mergeCell ref="A1:G1"/>
    <mergeCell ref="A2:G2"/>
  </mergeCells>
  <conditionalFormatting sqref="F5:F84">
    <cfRule type="cellIs" dxfId="3" priority="2" operator="equal">
      <formula>"Erfüllt"</formula>
    </cfRule>
    <cfRule type="cellIs" dxfId="2" priority="3" operator="equal">
      <formula>"Teilweise"</formula>
    </cfRule>
    <cfRule type="cellIs" dxfId="1" priority="4" operator="equal">
      <formula>"Lücke"</formula>
    </cfRule>
    <cfRule type="cellIs" dxfId="0" priority="5" operator="equal">
      <formula>"Nicht relevant"</formula>
    </cfRule>
  </conditionalFormatting>
  <dataValidations count="2">
    <dataValidation type="list" sqref="E5:E84" xr:uid="{00000000-0002-0000-0000-000000000000}">
      <formula1>"MUSS,SOLL,KANN"</formula1>
      <formula2>0</formula2>
    </dataValidation>
    <dataValidation type="list" sqref="F5:F84" xr:uid="{00000000-0002-0000-0000-000001000000}">
      <formula1>"Nicht bewertet,Erfüllt,Teilweise,Lücke,Nicht relevant"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showGridLines="0" zoomScaleNormal="100" workbookViewId="0"/>
  </sheetViews>
  <sheetFormatPr baseColWidth="10" defaultColWidth="8.6640625" defaultRowHeight="15" x14ac:dyDescent="0.2"/>
  <cols>
    <col min="1" max="1" width="34" customWidth="1"/>
    <col min="2" max="3" width="15" customWidth="1"/>
    <col min="4" max="4" width="13" customWidth="1"/>
    <col min="5" max="5" width="15" customWidth="1"/>
  </cols>
  <sheetData>
    <row r="1" spans="1:5" ht="30" customHeight="1" x14ac:dyDescent="0.2">
      <c r="A1" s="1" t="s">
        <v>255</v>
      </c>
      <c r="B1" s="1"/>
      <c r="C1" s="1"/>
      <c r="D1" s="1"/>
      <c r="E1" s="1"/>
    </row>
    <row r="3" spans="1:5" ht="15" customHeight="1" x14ac:dyDescent="0.2">
      <c r="A3" s="13" t="s">
        <v>256</v>
      </c>
    </row>
    <row r="5" spans="1:5" ht="17.25" customHeight="1" x14ac:dyDescent="0.2">
      <c r="A5" s="14" t="s">
        <v>257</v>
      </c>
      <c r="C5" s="15">
        <f>IF(SUM('Anforderungen &amp; Fit-Gap'!M5:M84)=0,0,SUM('Anforderungen &amp; Fit-Gap'!L5:L84)/SUM('Anforderungen &amp; Fit-Gap'!M5:M84))</f>
        <v>0</v>
      </c>
      <c r="D5" s="16" t="s">
        <v>258</v>
      </c>
    </row>
    <row r="6" spans="1:5" ht="17.25" customHeight="1" x14ac:dyDescent="0.2">
      <c r="A6" s="14" t="s">
        <v>259</v>
      </c>
      <c r="C6" s="17">
        <f>COUNTIFS('Anforderungen &amp; Fit-Gap'!E5:E84,"MUSS",'Anforderungen &amp; Fit-Gap'!F5:F84,"Lücke")</f>
        <v>0</v>
      </c>
      <c r="D6" s="16" t="s">
        <v>260</v>
      </c>
    </row>
    <row r="7" spans="1:5" ht="17.25" customHeight="1" x14ac:dyDescent="0.2">
      <c r="A7" s="14" t="s">
        <v>261</v>
      </c>
      <c r="C7" s="17">
        <f>SUM('Anforderungen &amp; Fit-Gap'!J5:J84)</f>
        <v>0</v>
      </c>
      <c r="D7" s="16" t="s">
        <v>262</v>
      </c>
    </row>
    <row r="8" spans="1:5" ht="17.25" customHeight="1" x14ac:dyDescent="0.2">
      <c r="A8" s="14" t="s">
        <v>263</v>
      </c>
      <c r="C8" s="17">
        <f>COUNTIF('Anforderungen &amp; Fit-Gap'!F5:F84,"Erfüllt")</f>
        <v>0</v>
      </c>
    </row>
    <row r="9" spans="1:5" ht="17.25" customHeight="1" x14ac:dyDescent="0.2">
      <c r="A9" s="14" t="s">
        <v>264</v>
      </c>
      <c r="C9" s="17">
        <f>COUNTIF('Anforderungen &amp; Fit-Gap'!F5:F84,"Teilweise")</f>
        <v>0</v>
      </c>
    </row>
    <row r="10" spans="1:5" ht="17.25" customHeight="1" x14ac:dyDescent="0.2">
      <c r="A10" s="14" t="s">
        <v>265</v>
      </c>
      <c r="C10" s="17">
        <f>COUNTIF('Anforderungen &amp; Fit-Gap'!F5:F84,"Lücke")</f>
        <v>0</v>
      </c>
    </row>
    <row r="11" spans="1:5" ht="17.25" customHeight="1" x14ac:dyDescent="0.2">
      <c r="A11" s="14" t="s">
        <v>266</v>
      </c>
      <c r="C11" s="17">
        <f>COUNTIF('Anforderungen &amp; Fit-Gap'!F5:F84,"Nicht relevant")</f>
        <v>0</v>
      </c>
    </row>
    <row r="12" spans="1:5" ht="17.25" customHeight="1" x14ac:dyDescent="0.2">
      <c r="A12" s="14" t="s">
        <v>267</v>
      </c>
      <c r="C12" s="17">
        <f>COUNTIF('Anforderungen &amp; Fit-Gap'!F5:F84,"Nicht bewertet")</f>
        <v>79</v>
      </c>
    </row>
    <row r="15" spans="1:5" ht="15" customHeight="1" x14ac:dyDescent="0.2">
      <c r="A15" s="13" t="s">
        <v>268</v>
      </c>
    </row>
    <row r="16" spans="1:5" ht="15" customHeight="1" x14ac:dyDescent="0.2">
      <c r="A16" s="18" t="s">
        <v>2</v>
      </c>
      <c r="B16" s="18" t="s">
        <v>269</v>
      </c>
      <c r="C16" s="18" t="s">
        <v>270</v>
      </c>
      <c r="D16" s="18" t="s">
        <v>271</v>
      </c>
      <c r="E16" s="18" t="s">
        <v>272</v>
      </c>
    </row>
    <row r="17" spans="1:5" ht="15" customHeight="1" x14ac:dyDescent="0.2">
      <c r="A17" s="19" t="s">
        <v>273</v>
      </c>
      <c r="B17" s="20">
        <f>IF(SUMIFS('Anforderungen &amp; Fit-Gap'!M5:M84,'Anforderungen &amp; Fit-Gap'!A5:A84,"OE")=0,0,SUMIFS('Anforderungen &amp; Fit-Gap'!L5:L84,'Anforderungen &amp; Fit-Gap'!A5:A84,"OE")/SUMIFS('Anforderungen &amp; Fit-Gap'!M5:M84,'Anforderungen &amp; Fit-Gap'!A5:A84,"OE"))</f>
        <v>0</v>
      </c>
      <c r="C17" s="21">
        <f>COUNTIFS('Anforderungen &amp; Fit-Gap'!A5:A84,"OE",'Anforderungen &amp; Fit-Gap'!F5:F84,"Erfüllt")</f>
        <v>0</v>
      </c>
      <c r="D17" s="21">
        <f>COUNTIFS('Anforderungen &amp; Fit-Gap'!A5:A84,"OE",'Anforderungen &amp; Fit-Gap'!F5:F84,"Teilweise")</f>
        <v>0</v>
      </c>
      <c r="E17" s="21">
        <f>COUNTIFS('Anforderungen &amp; Fit-Gap'!A5:A84,"OE",'Anforderungen &amp; Fit-Gap'!F5:F84,"Lücke")</f>
        <v>0</v>
      </c>
    </row>
    <row r="18" spans="1:5" ht="15" customHeight="1" x14ac:dyDescent="0.2">
      <c r="A18" s="19" t="s">
        <v>274</v>
      </c>
      <c r="B18" s="20">
        <f>IF(SUMIFS('Anforderungen &amp; Fit-Gap'!M5:M84,'Anforderungen &amp; Fit-Gap'!A5:A84,"LIS")=0,0,SUMIFS('Anforderungen &amp; Fit-Gap'!L5:L84,'Anforderungen &amp; Fit-Gap'!A5:A84,"LIS")/SUMIFS('Anforderungen &amp; Fit-Gap'!M5:M84,'Anforderungen &amp; Fit-Gap'!A5:A84,"LIS"))</f>
        <v>0</v>
      </c>
      <c r="C18" s="21">
        <f>COUNTIFS('Anforderungen &amp; Fit-Gap'!A5:A84,"LIS",'Anforderungen &amp; Fit-Gap'!F5:F84,"Erfüllt")</f>
        <v>0</v>
      </c>
      <c r="D18" s="21">
        <f>COUNTIFS('Anforderungen &amp; Fit-Gap'!A5:A84,"LIS",'Anforderungen &amp; Fit-Gap'!F5:F84,"Teilweise")</f>
        <v>0</v>
      </c>
      <c r="E18" s="21">
        <f>COUNTIFS('Anforderungen &amp; Fit-Gap'!A5:A84,"LIS",'Anforderungen &amp; Fit-Gap'!F5:F84,"Lücke")</f>
        <v>0</v>
      </c>
    </row>
    <row r="19" spans="1:5" ht="15" customHeight="1" x14ac:dyDescent="0.2">
      <c r="A19" s="19" t="s">
        <v>275</v>
      </c>
      <c r="B19" s="20">
        <f>IF(SUMIFS('Anforderungen &amp; Fit-Gap'!M5:M84,'Anforderungen &amp; Fit-Gap'!A5:A84,"MB")=0,0,SUMIFS('Anforderungen &amp; Fit-Gap'!L5:L84,'Anforderungen &amp; Fit-Gap'!A5:A84,"MB")/SUMIFS('Anforderungen &amp; Fit-Gap'!M5:M84,'Anforderungen &amp; Fit-Gap'!A5:A84,"MB"))</f>
        <v>0</v>
      </c>
      <c r="C19" s="21">
        <f>COUNTIFS('Anforderungen &amp; Fit-Gap'!A5:A84,"MB",'Anforderungen &amp; Fit-Gap'!F5:F84,"Erfüllt")</f>
        <v>0</v>
      </c>
      <c r="D19" s="21">
        <f>COUNTIFS('Anforderungen &amp; Fit-Gap'!A5:A84,"MB",'Anforderungen &amp; Fit-Gap'!F5:F84,"Teilweise")</f>
        <v>0</v>
      </c>
      <c r="E19" s="21">
        <f>COUNTIFS('Anforderungen &amp; Fit-Gap'!A5:A84,"MB",'Anforderungen &amp; Fit-Gap'!F5:F84,"Lücke")</f>
        <v>0</v>
      </c>
    </row>
    <row r="20" spans="1:5" ht="15" customHeight="1" x14ac:dyDescent="0.2">
      <c r="A20" s="19" t="s">
        <v>276</v>
      </c>
      <c r="B20" s="20">
        <f>IF(SUMIFS('Anforderungen &amp; Fit-Gap'!M5:M84,'Anforderungen &amp; Fit-Gap'!A5:A84,"IF")=0,0,SUMIFS('Anforderungen &amp; Fit-Gap'!L5:L84,'Anforderungen &amp; Fit-Gap'!A5:A84,"IF")/SUMIFS('Anforderungen &amp; Fit-Gap'!M5:M84,'Anforderungen &amp; Fit-Gap'!A5:A84,"IF"))</f>
        <v>0</v>
      </c>
      <c r="C20" s="21">
        <f>COUNTIFS('Anforderungen &amp; Fit-Gap'!A5:A84,"IF",'Anforderungen &amp; Fit-Gap'!F5:F84,"Erfüllt")</f>
        <v>0</v>
      </c>
      <c r="D20" s="21">
        <f>COUNTIFS('Anforderungen &amp; Fit-Gap'!A5:A84,"IF",'Anforderungen &amp; Fit-Gap'!F5:F84,"Teilweise")</f>
        <v>0</v>
      </c>
      <c r="E20" s="21">
        <f>COUNTIFS('Anforderungen &amp; Fit-Gap'!A5:A84,"IF",'Anforderungen &amp; Fit-Gap'!F5:F84,"Lücke")</f>
        <v>0</v>
      </c>
    </row>
    <row r="21" spans="1:5" ht="15" customHeight="1" x14ac:dyDescent="0.2">
      <c r="A21" s="19" t="s">
        <v>277</v>
      </c>
      <c r="B21" s="20">
        <f>IF(SUMIFS('Anforderungen &amp; Fit-Gap'!M5:M84,'Anforderungen &amp; Fit-Gap'!A5:A84,"AB")=0,0,SUMIFS('Anforderungen &amp; Fit-Gap'!L5:L84,'Anforderungen &amp; Fit-Gap'!A5:A84,"AB")/SUMIFS('Anforderungen &amp; Fit-Gap'!M5:M84,'Anforderungen &amp; Fit-Gap'!A5:A84,"AB"))</f>
        <v>0</v>
      </c>
      <c r="C21" s="21">
        <f>COUNTIFS('Anforderungen &amp; Fit-Gap'!A5:A84,"AB",'Anforderungen &amp; Fit-Gap'!F5:F84,"Erfüllt")</f>
        <v>0</v>
      </c>
      <c r="D21" s="21">
        <f>COUNTIFS('Anforderungen &amp; Fit-Gap'!A5:A84,"AB",'Anforderungen &amp; Fit-Gap'!F5:F84,"Teilweise")</f>
        <v>0</v>
      </c>
      <c r="E21" s="21">
        <f>COUNTIFS('Anforderungen &amp; Fit-Gap'!A5:A84,"AB",'Anforderungen &amp; Fit-Gap'!F5:F84,"Lücke")</f>
        <v>0</v>
      </c>
    </row>
    <row r="22" spans="1:5" ht="15" customHeight="1" x14ac:dyDescent="0.2">
      <c r="A22" s="19" t="s">
        <v>278</v>
      </c>
      <c r="B22" s="20">
        <f>IF(SUMIFS('Anforderungen &amp; Fit-Gap'!M5:M84,'Anforderungen &amp; Fit-Gap'!A5:A84,"QM")=0,0,SUMIFS('Anforderungen &amp; Fit-Gap'!L5:L84,'Anforderungen &amp; Fit-Gap'!A5:A84,"QM")/SUMIFS('Anforderungen &amp; Fit-Gap'!M5:M84,'Anforderungen &amp; Fit-Gap'!A5:A84,"QM"))</f>
        <v>0</v>
      </c>
      <c r="C22" s="21">
        <f>COUNTIFS('Anforderungen &amp; Fit-Gap'!A5:A84,"QM",'Anforderungen &amp; Fit-Gap'!F5:F84,"Erfüllt")</f>
        <v>0</v>
      </c>
      <c r="D22" s="21">
        <f>COUNTIFS('Anforderungen &amp; Fit-Gap'!A5:A84,"QM",'Anforderungen &amp; Fit-Gap'!F5:F84,"Teilweise")</f>
        <v>0</v>
      </c>
      <c r="E22" s="21">
        <f>COUNTIFS('Anforderungen &amp; Fit-Gap'!A5:A84,"QM",'Anforderungen &amp; Fit-Gap'!F5:F84,"Lücke")</f>
        <v>0</v>
      </c>
    </row>
    <row r="23" spans="1:5" ht="15" customHeight="1" x14ac:dyDescent="0.2">
      <c r="A23" s="22" t="s">
        <v>279</v>
      </c>
      <c r="B23" s="20">
        <f>IF(SUM('Anforderungen &amp; Fit-Gap'!M5:M84)=0,0,SUM('Anforderungen &amp; Fit-Gap'!L5:L84)/SUM('Anforderungen &amp; Fit-Gap'!M5:M84))</f>
        <v>0</v>
      </c>
      <c r="C23" s="23">
        <f>COUNTIF('Anforderungen &amp; Fit-Gap'!F5:F84,"Erfüllt")</f>
        <v>0</v>
      </c>
      <c r="D23" s="23">
        <f>COUNTIF('Anforderungen &amp; Fit-Gap'!F5:F84,"Teilweise")</f>
        <v>0</v>
      </c>
      <c r="E23" s="23">
        <f>COUNTIF('Anforderungen &amp; Fit-Gap'!F5:F84,"Lücke")</f>
        <v>0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E81F7AE099064FB36A9F014BC1D4EF" ma:contentTypeVersion="3" ma:contentTypeDescription="Ein neues Dokument erstellen." ma:contentTypeScope="" ma:versionID="371fe95f0b7820e2c62266b63b64ae98">
  <xsd:schema xmlns:xsd="http://www.w3.org/2001/XMLSchema" xmlns:xs="http://www.w3.org/2001/XMLSchema" xmlns:p="http://schemas.microsoft.com/office/2006/metadata/properties" xmlns:ns2="de7ca7db-bbdf-40d6-a98e-e4a75d93cd18" targetNamespace="http://schemas.microsoft.com/office/2006/metadata/properties" ma:root="true" ma:fieldsID="f00bbd298f48749abc79329b9145b438" ns2:_="">
    <xsd:import namespace="de7ca7db-bbdf-40d6-a98e-e4a75d93cd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ca7db-bbdf-40d6-a98e-e4a75d93cd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DD9E78-D4F3-43E1-9917-4969D3F46132}"/>
</file>

<file path=customXml/itemProps2.xml><?xml version="1.0" encoding="utf-8"?>
<ds:datastoreItem xmlns:ds="http://schemas.openxmlformats.org/officeDocument/2006/customXml" ds:itemID="{B246E64A-E6D3-4832-A7B3-0448A67C4626}"/>
</file>

<file path=customXml/itemProps3.xml><?xml version="1.0" encoding="utf-8"?>
<ds:datastoreItem xmlns:ds="http://schemas.openxmlformats.org/officeDocument/2006/customXml" ds:itemID="{6E9ACDF8-42CB-401E-AE86-51D09AE0EF4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Anforderungen &amp; Fit-Gap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Jonas Linke</cp:lastModifiedBy>
  <cp:revision>0</cp:revision>
  <dcterms:created xsi:type="dcterms:W3CDTF">2026-06-15T13:33:59Z</dcterms:created>
  <dcterms:modified xsi:type="dcterms:W3CDTF">2026-06-18T13:09:14Z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0x010100CAE81F7AE099064FB36A9F014BC1D4EF</vt:lpwstr>
  </property>
</Properties>
</file>